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benderjccgw-my.sharepoint.com/personal/drosenberg_benderjccgw_org/Documents/"/>
    </mc:Choice>
  </mc:AlternateContent>
  <xr:revisionPtr revIDLastSave="0" documentId="8_{E604323A-3902-4276-93CF-05792FAA38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4-25" sheetId="7" r:id="rId1"/>
    <sheet name="17-18" sheetId="3" state="hidden" r:id="rId2"/>
    <sheet name="18-19" sheetId="4" state="hidden" r:id="rId3"/>
    <sheet name="19-20" sheetId="5" state="hidden" r:id="rId4"/>
    <sheet name="Transaction Detail by Account" sheetId="1" state="hidden" r:id="rId5"/>
  </sheets>
  <definedNames>
    <definedName name="_xlnm.Print_Area" localSheetId="0">'24-25'!$A$1:$BU$80</definedName>
    <definedName name="_xlnm.Print_Titles" localSheetId="0">'24-25'!$1:$6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56" i="7" l="1"/>
  <c r="BS77" i="7"/>
  <c r="BS33" i="7"/>
  <c r="BS19" i="7"/>
  <c r="BS62" i="7"/>
  <c r="BS38" i="7"/>
  <c r="BQ77" i="7"/>
  <c r="BQ72" i="7"/>
  <c r="BQ73" i="7" s="1"/>
  <c r="BQ62" i="7"/>
  <c r="BQ56" i="7"/>
  <c r="BQ38" i="7"/>
  <c r="BQ33" i="7"/>
  <c r="BQ26" i="7"/>
  <c r="BQ19" i="7"/>
  <c r="BQ78" i="7" l="1"/>
  <c r="BQ79" i="7" s="1"/>
  <c r="BU19" i="7"/>
  <c r="BU26" i="7"/>
  <c r="BS26" i="7"/>
  <c r="B98" i="5" l="1"/>
  <c r="B97" i="5"/>
  <c r="B94" i="5"/>
  <c r="B93" i="5"/>
  <c r="B95" i="5" s="1"/>
  <c r="B99" i="5" s="1"/>
  <c r="B91" i="5"/>
  <c r="B87" i="5"/>
  <c r="B88" i="5" s="1"/>
  <c r="B85" i="5"/>
  <c r="B84" i="5"/>
  <c r="B82" i="5"/>
  <c r="B79" i="5"/>
  <c r="B78" i="5"/>
  <c r="B77" i="5"/>
  <c r="B76" i="5"/>
  <c r="B75" i="5"/>
  <c r="B74" i="5"/>
  <c r="B72" i="5"/>
  <c r="B71" i="5"/>
  <c r="B70" i="5"/>
  <c r="B67" i="5"/>
  <c r="B66" i="5"/>
  <c r="B68" i="5" s="1"/>
  <c r="B63" i="5"/>
  <c r="B62" i="5"/>
  <c r="B64" i="5" s="1"/>
  <c r="B58" i="5"/>
  <c r="B57" i="5"/>
  <c r="B56" i="5"/>
  <c r="B55" i="5"/>
  <c r="B59" i="5" s="1"/>
  <c r="B52" i="5"/>
  <c r="B51" i="5"/>
  <c r="B53" i="5" s="1"/>
  <c r="B50" i="5"/>
  <c r="B47" i="5"/>
  <c r="B46" i="5"/>
  <c r="B45" i="5"/>
  <c r="B44" i="5"/>
  <c r="B48" i="5" s="1"/>
  <c r="B43" i="5"/>
  <c r="B41" i="5"/>
  <c r="B40" i="5"/>
  <c r="B39" i="5"/>
  <c r="B34" i="5"/>
  <c r="B33" i="5"/>
  <c r="B32" i="5"/>
  <c r="B30" i="5"/>
  <c r="B29" i="5"/>
  <c r="B28" i="5"/>
  <c r="B26" i="5"/>
  <c r="B25" i="5"/>
  <c r="B23" i="5"/>
  <c r="B22" i="5"/>
  <c r="B19" i="5"/>
  <c r="B18" i="5"/>
  <c r="B20" i="5" s="1"/>
  <c r="B15" i="5"/>
  <c r="B16" i="5" s="1"/>
  <c r="B12" i="5"/>
  <c r="B13" i="5" s="1"/>
  <c r="B9" i="5"/>
  <c r="B8" i="5"/>
  <c r="B10" i="5" s="1"/>
  <c r="B35" i="5" s="1"/>
  <c r="B36" i="5" s="1"/>
  <c r="B120" i="4"/>
  <c r="B119" i="4"/>
  <c r="B116" i="4"/>
  <c r="B117" i="4" s="1"/>
  <c r="B113" i="4"/>
  <c r="B112" i="4"/>
  <c r="B114" i="4" s="1"/>
  <c r="B110" i="4"/>
  <c r="B109" i="4"/>
  <c r="B108" i="4"/>
  <c r="B107" i="4"/>
  <c r="B103" i="4"/>
  <c r="B102" i="4"/>
  <c r="B104" i="4" s="1"/>
  <c r="B99" i="4"/>
  <c r="B100" i="4" s="1"/>
  <c r="B96" i="4"/>
  <c r="B95" i="4"/>
  <c r="B97" i="4" s="1"/>
  <c r="B93" i="4"/>
  <c r="B90" i="4"/>
  <c r="B89" i="4"/>
  <c r="B88" i="4"/>
  <c r="B87" i="4"/>
  <c r="B86" i="4"/>
  <c r="B85" i="4"/>
  <c r="B83" i="4"/>
  <c r="B82" i="4"/>
  <c r="B84" i="4" s="1"/>
  <c r="B80" i="4"/>
  <c r="B79" i="4"/>
  <c r="B78" i="4"/>
  <c r="B77" i="4"/>
  <c r="B75" i="4"/>
  <c r="B74" i="4"/>
  <c r="B73" i="4"/>
  <c r="B72" i="4"/>
  <c r="B69" i="4"/>
  <c r="B68" i="4"/>
  <c r="B70" i="4" s="1"/>
  <c r="B65" i="4"/>
  <c r="B64" i="4"/>
  <c r="B66" i="4" s="1"/>
  <c r="B91" i="4" s="1"/>
  <c r="B60" i="4"/>
  <c r="B59" i="4"/>
  <c r="B58" i="4"/>
  <c r="B61" i="4" s="1"/>
  <c r="B55" i="4"/>
  <c r="B54" i="4"/>
  <c r="B56" i="4" s="1"/>
  <c r="B53" i="4"/>
  <c r="B50" i="4"/>
  <c r="B49" i="4"/>
  <c r="B48" i="4"/>
  <c r="B51" i="4" s="1"/>
  <c r="B45" i="4"/>
  <c r="B44" i="4"/>
  <c r="B46" i="4" s="1"/>
  <c r="B38" i="4"/>
  <c r="B37" i="4"/>
  <c r="B39" i="4" s="1"/>
  <c r="B34" i="4"/>
  <c r="B33" i="4"/>
  <c r="B35" i="4" s="1"/>
  <c r="B32" i="4"/>
  <c r="B29" i="4"/>
  <c r="B30" i="4" s="1"/>
  <c r="B26" i="4"/>
  <c r="B25" i="4"/>
  <c r="B27" i="4" s="1"/>
  <c r="B22" i="4"/>
  <c r="B21" i="4"/>
  <c r="B23" i="4" s="1"/>
  <c r="B18" i="4"/>
  <c r="B17" i="4"/>
  <c r="B19" i="4" s="1"/>
  <c r="B15" i="4"/>
  <c r="B14" i="4"/>
  <c r="B13" i="4"/>
  <c r="B11" i="4"/>
  <c r="B10" i="4"/>
  <c r="B9" i="4"/>
  <c r="B8" i="4"/>
  <c r="B112" i="3"/>
  <c r="B111" i="3"/>
  <c r="B108" i="3"/>
  <c r="B109" i="3" s="1"/>
  <c r="AP71" i="7" s="1"/>
  <c r="AR71" i="7" s="1"/>
  <c r="B106" i="3"/>
  <c r="B105" i="3"/>
  <c r="B104" i="3"/>
  <c r="B103" i="3"/>
  <c r="B102" i="3"/>
  <c r="AP66" i="7" s="1"/>
  <c r="AR66" i="7" s="1"/>
  <c r="B98" i="3"/>
  <c r="B99" i="3" s="1"/>
  <c r="AP61" i="7" s="1"/>
  <c r="AR61" i="7" s="1"/>
  <c r="B95" i="3"/>
  <c r="B96" i="3" s="1"/>
  <c r="AP60" i="7" s="1"/>
  <c r="AR60" i="7" s="1"/>
  <c r="B92" i="3"/>
  <c r="B91" i="3"/>
  <c r="B93" i="3" s="1"/>
  <c r="AP59" i="7" s="1"/>
  <c r="AR59" i="7" s="1"/>
  <c r="B89" i="3"/>
  <c r="B86" i="3"/>
  <c r="B85" i="3"/>
  <c r="B84" i="3"/>
  <c r="AP50" i="7" s="1"/>
  <c r="AR50" i="7" s="1"/>
  <c r="B83" i="3"/>
  <c r="B82" i="3"/>
  <c r="B81" i="3"/>
  <c r="AP45" i="7" s="1"/>
  <c r="AR45" i="7" s="1"/>
  <c r="B79" i="3"/>
  <c r="B78" i="3"/>
  <c r="B80" i="3" s="1"/>
  <c r="B76" i="3"/>
  <c r="B75" i="3"/>
  <c r="AP43" i="7" s="1"/>
  <c r="AR43" i="7" s="1"/>
  <c r="B74" i="3"/>
  <c r="B73" i="3"/>
  <c r="B71" i="3"/>
  <c r="B70" i="3"/>
  <c r="B69" i="3"/>
  <c r="B68" i="3"/>
  <c r="B65" i="3"/>
  <c r="B64" i="3"/>
  <c r="B66" i="3" s="1"/>
  <c r="AP41" i="7" s="1"/>
  <c r="AR41" i="7" s="1"/>
  <c r="B61" i="3"/>
  <c r="B60" i="3"/>
  <c r="B62" i="3" s="1"/>
  <c r="B56" i="3"/>
  <c r="B55" i="3"/>
  <c r="B54" i="3"/>
  <c r="B53" i="3"/>
  <c r="AP76" i="7" s="1"/>
  <c r="AR76" i="7" s="1"/>
  <c r="B50" i="3"/>
  <c r="B49" i="3"/>
  <c r="B48" i="3"/>
  <c r="B51" i="3" s="1"/>
  <c r="B45" i="3"/>
  <c r="B44" i="3"/>
  <c r="AP29" i="7" s="1"/>
  <c r="B43" i="3"/>
  <c r="B46" i="3" s="1"/>
  <c r="B40" i="3"/>
  <c r="AP23" i="7" s="1"/>
  <c r="AR23" i="7" s="1"/>
  <c r="B39" i="3"/>
  <c r="B41" i="3" s="1"/>
  <c r="B33" i="3"/>
  <c r="B32" i="3"/>
  <c r="B34" i="3" s="1"/>
  <c r="AP15" i="7" s="1"/>
  <c r="AR15" i="7" s="1"/>
  <c r="B31" i="3"/>
  <c r="B29" i="3"/>
  <c r="AP18" i="7" s="1"/>
  <c r="AR18" i="7" s="1"/>
  <c r="B28" i="3"/>
  <c r="B25" i="3"/>
  <c r="B24" i="3"/>
  <c r="B26" i="3" s="1"/>
  <c r="AP12" i="7" s="1"/>
  <c r="AR12" i="7" s="1"/>
  <c r="B22" i="3"/>
  <c r="B21" i="3"/>
  <c r="B20" i="3"/>
  <c r="B18" i="3"/>
  <c r="AP10" i="7" s="1"/>
  <c r="B17" i="3"/>
  <c r="B14" i="3"/>
  <c r="B13" i="3"/>
  <c r="B15" i="3" s="1"/>
  <c r="B11" i="3"/>
  <c r="B10" i="3"/>
  <c r="B9" i="3"/>
  <c r="B8" i="3"/>
  <c r="AY79" i="7"/>
  <c r="X79" i="7"/>
  <c r="BU77" i="7"/>
  <c r="BO77" i="7"/>
  <c r="BK77" i="7"/>
  <c r="BI77" i="7"/>
  <c r="BE77" i="7"/>
  <c r="BC77" i="7"/>
  <c r="BA77" i="7"/>
  <c r="AY77" i="7"/>
  <c r="AW77" i="7"/>
  <c r="AN77" i="7"/>
  <c r="AJ77" i="7"/>
  <c r="AH77" i="7"/>
  <c r="AD77" i="7"/>
  <c r="AB77" i="7"/>
  <c r="Z77" i="7"/>
  <c r="X77" i="7"/>
  <c r="V77" i="7"/>
  <c r="S77" i="7"/>
  <c r="Q77" i="7"/>
  <c r="O77" i="7"/>
  <c r="M77" i="7"/>
  <c r="K77" i="7"/>
  <c r="I77" i="7"/>
  <c r="G77" i="7"/>
  <c r="BM76" i="7"/>
  <c r="AL76" i="7"/>
  <c r="BM75" i="7"/>
  <c r="BM77" i="7" s="1"/>
  <c r="AP75" i="7"/>
  <c r="AP77" i="7" s="1"/>
  <c r="AL75" i="7"/>
  <c r="AL77" i="7" s="1"/>
  <c r="BU72" i="7"/>
  <c r="BS72" i="7"/>
  <c r="BO72" i="7"/>
  <c r="BK72" i="7"/>
  <c r="BI72" i="7"/>
  <c r="BE72" i="7"/>
  <c r="BA72" i="7"/>
  <c r="AY72" i="7"/>
  <c r="AW72" i="7"/>
  <c r="AN72" i="7"/>
  <c r="AJ72" i="7"/>
  <c r="AH72" i="7"/>
  <c r="AD72" i="7"/>
  <c r="Z72" i="7"/>
  <c r="X72" i="7"/>
  <c r="V72" i="7"/>
  <c r="S72" i="7"/>
  <c r="Q72" i="7"/>
  <c r="O72" i="7"/>
  <c r="M72" i="7"/>
  <c r="K72" i="7"/>
  <c r="I72" i="7"/>
  <c r="G72" i="7"/>
  <c r="BC69" i="7"/>
  <c r="BC72" i="7" s="1"/>
  <c r="AR69" i="7"/>
  <c r="AB69" i="7"/>
  <c r="AB72" i="7" s="1"/>
  <c r="AR68" i="7"/>
  <c r="BM67" i="7"/>
  <c r="AP67" i="7"/>
  <c r="AR67" i="7" s="1"/>
  <c r="AL67" i="7"/>
  <c r="BM66" i="7"/>
  <c r="AL66" i="7"/>
  <c r="BM65" i="7"/>
  <c r="BM72" i="7" s="1"/>
  <c r="BM73" i="7" s="1"/>
  <c r="BG65" i="7"/>
  <c r="BG72" i="7" s="1"/>
  <c r="AP65" i="7"/>
  <c r="AL65" i="7"/>
  <c r="AL72" i="7" s="1"/>
  <c r="AL73" i="7" s="1"/>
  <c r="AF65" i="7"/>
  <c r="AF72" i="7" s="1"/>
  <c r="AR64" i="7"/>
  <c r="BU62" i="7"/>
  <c r="BO62" i="7"/>
  <c r="BK62" i="7"/>
  <c r="BI62" i="7"/>
  <c r="BE62" i="7"/>
  <c r="BC62" i="7"/>
  <c r="BA62" i="7"/>
  <c r="AY62" i="7"/>
  <c r="AW62" i="7"/>
  <c r="AN62" i="7"/>
  <c r="AJ62" i="7"/>
  <c r="AH62" i="7"/>
  <c r="AD62" i="7"/>
  <c r="AB62" i="7"/>
  <c r="Z62" i="7"/>
  <c r="X62" i="7"/>
  <c r="V62" i="7"/>
  <c r="S62" i="7"/>
  <c r="Q62" i="7"/>
  <c r="O62" i="7"/>
  <c r="M62" i="7"/>
  <c r="K62" i="7"/>
  <c r="I62" i="7"/>
  <c r="G62" i="7"/>
  <c r="BM61" i="7"/>
  <c r="AL61" i="7"/>
  <c r="BM60" i="7"/>
  <c r="AL60" i="7"/>
  <c r="BM58" i="7"/>
  <c r="BM62" i="7" s="1"/>
  <c r="BG58" i="7"/>
  <c r="AP58" i="7"/>
  <c r="AL58" i="7"/>
  <c r="AL62" i="7" s="1"/>
  <c r="AF58" i="7"/>
  <c r="BU56" i="7"/>
  <c r="BO56" i="7"/>
  <c r="BK56" i="7"/>
  <c r="BI56" i="7"/>
  <c r="BE56" i="7"/>
  <c r="BC56" i="7"/>
  <c r="BA56" i="7"/>
  <c r="AY56" i="7"/>
  <c r="AW56" i="7"/>
  <c r="AN56" i="7"/>
  <c r="AJ56" i="7"/>
  <c r="AH56" i="7"/>
  <c r="AD56" i="7"/>
  <c r="AB56" i="7"/>
  <c r="Z56" i="7"/>
  <c r="X56" i="7"/>
  <c r="V56" i="7"/>
  <c r="M56" i="7"/>
  <c r="K56" i="7"/>
  <c r="I56" i="7"/>
  <c r="G56" i="7"/>
  <c r="AP55" i="7"/>
  <c r="AR55" i="7" s="1"/>
  <c r="AR54" i="7"/>
  <c r="BM51" i="7"/>
  <c r="AP51" i="7"/>
  <c r="AR51" i="7" s="1"/>
  <c r="AL51" i="7"/>
  <c r="BM50" i="7"/>
  <c r="AL50" i="7"/>
  <c r="AR48" i="7"/>
  <c r="AR47" i="7"/>
  <c r="S47" i="7"/>
  <c r="S56" i="7" s="1"/>
  <c r="BM46" i="7"/>
  <c r="BG46" i="7"/>
  <c r="AP46" i="7"/>
  <c r="AR46" i="7" s="1"/>
  <c r="AL46" i="7"/>
  <c r="AF46" i="7"/>
  <c r="BM45" i="7"/>
  <c r="AL45" i="7"/>
  <c r="AP44" i="7"/>
  <c r="AR44" i="7" s="1"/>
  <c r="Q44" i="7"/>
  <c r="Q56" i="7" s="1"/>
  <c r="O44" i="7"/>
  <c r="O56" i="7" s="1"/>
  <c r="BM43" i="7"/>
  <c r="BG43" i="7"/>
  <c r="AL43" i="7"/>
  <c r="AF43" i="7"/>
  <c r="AR42" i="7"/>
  <c r="BM41" i="7"/>
  <c r="AL41" i="7"/>
  <c r="BM40" i="7"/>
  <c r="BM56" i="7" s="1"/>
  <c r="AL40" i="7"/>
  <c r="AL56" i="7" s="1"/>
  <c r="BU38" i="7"/>
  <c r="BO38" i="7"/>
  <c r="BK38" i="7"/>
  <c r="BI38" i="7"/>
  <c r="BE38" i="7"/>
  <c r="BC38" i="7"/>
  <c r="BA38" i="7"/>
  <c r="AW38" i="7"/>
  <c r="AN38" i="7"/>
  <c r="AJ38" i="7"/>
  <c r="AH38" i="7"/>
  <c r="AD38" i="7"/>
  <c r="AB38" i="7"/>
  <c r="Z38" i="7"/>
  <c r="V38" i="7"/>
  <c r="S38" i="7"/>
  <c r="Q38" i="7"/>
  <c r="Q78" i="7" s="1"/>
  <c r="O38" i="7"/>
  <c r="O78" i="7" s="1"/>
  <c r="M38" i="7"/>
  <c r="K38" i="7"/>
  <c r="K78" i="7" s="1"/>
  <c r="I38" i="7"/>
  <c r="G38" i="7"/>
  <c r="BM37" i="7"/>
  <c r="BG37" i="7"/>
  <c r="BG38" i="7" s="1"/>
  <c r="AP37" i="7"/>
  <c r="AR37" i="7" s="1"/>
  <c r="AL37" i="7"/>
  <c r="AF37" i="7"/>
  <c r="AF38" i="7" s="1"/>
  <c r="BM36" i="7"/>
  <c r="AP36" i="7"/>
  <c r="AR36" i="7" s="1"/>
  <c r="AL36" i="7"/>
  <c r="BM35" i="7"/>
  <c r="BM38" i="7" s="1"/>
  <c r="AY35" i="7"/>
  <c r="AY38" i="7" s="1"/>
  <c r="AP35" i="7"/>
  <c r="AR35" i="7" s="1"/>
  <c r="AL35" i="7"/>
  <c r="AL38" i="7" s="1"/>
  <c r="X35" i="7"/>
  <c r="X38" i="7" s="1"/>
  <c r="BU33" i="7"/>
  <c r="BO33" i="7"/>
  <c r="BK33" i="7"/>
  <c r="BI33" i="7"/>
  <c r="BE33" i="7"/>
  <c r="BC33" i="7"/>
  <c r="BA33" i="7"/>
  <c r="AW33" i="7"/>
  <c r="AN33" i="7"/>
  <c r="AJ33" i="7"/>
  <c r="AH33" i="7"/>
  <c r="AD33" i="7"/>
  <c r="AB33" i="7"/>
  <c r="Z33" i="7"/>
  <c r="V33" i="7"/>
  <c r="S33" i="7"/>
  <c r="Q33" i="7"/>
  <c r="O33" i="7"/>
  <c r="M33" i="7"/>
  <c r="G33" i="7"/>
  <c r="BM32" i="7"/>
  <c r="AY32" i="7"/>
  <c r="AY33" i="7" s="1"/>
  <c r="AP32" i="7"/>
  <c r="AR32" i="7" s="1"/>
  <c r="AL32" i="7"/>
  <c r="X32" i="7"/>
  <c r="X33" i="7" s="1"/>
  <c r="K32" i="7"/>
  <c r="K33" i="7" s="1"/>
  <c r="AR31" i="7"/>
  <c r="AR30" i="7"/>
  <c r="BM29" i="7"/>
  <c r="BM33" i="7" s="1"/>
  <c r="AL29" i="7"/>
  <c r="AL33" i="7" s="1"/>
  <c r="AP28" i="7"/>
  <c r="AR28" i="7" s="1"/>
  <c r="I28" i="7"/>
  <c r="I33" i="7" s="1"/>
  <c r="BO26" i="7"/>
  <c r="BK26" i="7"/>
  <c r="BI26" i="7"/>
  <c r="BE26" i="7"/>
  <c r="BC26" i="7"/>
  <c r="BA26" i="7"/>
  <c r="AN26" i="7"/>
  <c r="AJ26" i="7"/>
  <c r="AH26" i="7"/>
  <c r="AD26" i="7"/>
  <c r="AB26" i="7"/>
  <c r="Z26" i="7"/>
  <c r="BM23" i="7"/>
  <c r="AL23" i="7"/>
  <c r="BM25" i="7"/>
  <c r="BM26" i="7" s="1"/>
  <c r="BG25" i="7"/>
  <c r="BG26" i="7" s="1"/>
  <c r="AP25" i="7"/>
  <c r="AP26" i="7" s="1"/>
  <c r="AL25" i="7"/>
  <c r="AL26" i="7" s="1"/>
  <c r="AF25" i="7"/>
  <c r="AF26" i="7" s="1"/>
  <c r="Q25" i="7"/>
  <c r="O25" i="7"/>
  <c r="BO19" i="7"/>
  <c r="BK19" i="7"/>
  <c r="BI19" i="7"/>
  <c r="BG19" i="7"/>
  <c r="BE19" i="7"/>
  <c r="BC19" i="7"/>
  <c r="BA19" i="7"/>
  <c r="AY19" i="7"/>
  <c r="AN19" i="7"/>
  <c r="AJ19" i="7"/>
  <c r="AH19" i="7"/>
  <c r="AF19" i="7"/>
  <c r="AD19" i="7"/>
  <c r="AB19" i="7"/>
  <c r="Z19" i="7"/>
  <c r="X19" i="7"/>
  <c r="Q19" i="7"/>
  <c r="O19" i="7"/>
  <c r="AW17" i="7"/>
  <c r="AW19" i="7" s="1"/>
  <c r="AR17" i="7"/>
  <c r="V17" i="7"/>
  <c r="V19" i="7" s="1"/>
  <c r="S17" i="7"/>
  <c r="S19" i="7" s="1"/>
  <c r="M17" i="7"/>
  <c r="M19" i="7" s="1"/>
  <c r="K17" i="7"/>
  <c r="I17" i="7"/>
  <c r="I19" i="7" s="1"/>
  <c r="G17" i="7"/>
  <c r="G19" i="7" s="1"/>
  <c r="BM18" i="7"/>
  <c r="AL18" i="7"/>
  <c r="BM15" i="7"/>
  <c r="AL15" i="7"/>
  <c r="K15" i="7"/>
  <c r="BM13" i="7"/>
  <c r="AP13" i="7"/>
  <c r="AR13" i="7" s="1"/>
  <c r="AL13" i="7"/>
  <c r="K13" i="7"/>
  <c r="BM12" i="7"/>
  <c r="AL12" i="7"/>
  <c r="AR11" i="7"/>
  <c r="BM10" i="7"/>
  <c r="AL10" i="7"/>
  <c r="BM9" i="7"/>
  <c r="BM19" i="7" s="1"/>
  <c r="AR9" i="7"/>
  <c r="AL9" i="7"/>
  <c r="AL19" i="7" s="1"/>
  <c r="BM78" i="7" l="1"/>
  <c r="BM79" i="7" s="1"/>
  <c r="M78" i="7"/>
  <c r="S78" i="7"/>
  <c r="I78" i="7"/>
  <c r="X78" i="7"/>
  <c r="AY78" i="7"/>
  <c r="K73" i="7"/>
  <c r="O73" i="7"/>
  <c r="G78" i="7"/>
  <c r="M73" i="7"/>
  <c r="AW78" i="7"/>
  <c r="BA73" i="7"/>
  <c r="BA78" i="7" s="1"/>
  <c r="V78" i="7"/>
  <c r="Z73" i="7"/>
  <c r="Z78" i="7" s="1"/>
  <c r="AW73" i="7"/>
  <c r="V73" i="7"/>
  <c r="G73" i="7"/>
  <c r="BC73" i="7"/>
  <c r="BC79" i="7" s="1"/>
  <c r="I73" i="7"/>
  <c r="Q73" i="7"/>
  <c r="AD73" i="7"/>
  <c r="AD78" i="7" s="1"/>
  <c r="AD79" i="7" s="1"/>
  <c r="BE73" i="7"/>
  <c r="BE78" i="7" s="1"/>
  <c r="BE79" i="7" s="1"/>
  <c r="AP72" i="7"/>
  <c r="AR72" i="7" s="1"/>
  <c r="AH73" i="7"/>
  <c r="AH78" i="7" s="1"/>
  <c r="AH79" i="7" s="1"/>
  <c r="BI73" i="7"/>
  <c r="BI78" i="7" s="1"/>
  <c r="BI79" i="7" s="1"/>
  <c r="AJ73" i="7"/>
  <c r="AJ78" i="7" s="1"/>
  <c r="AJ79" i="7" s="1"/>
  <c r="BK73" i="7"/>
  <c r="BK78" i="7" s="1"/>
  <c r="BK79" i="7" s="1"/>
  <c r="K19" i="7"/>
  <c r="AR26" i="7"/>
  <c r="BG56" i="7"/>
  <c r="BG73" i="7" s="1"/>
  <c r="BG78" i="7" s="1"/>
  <c r="BG79" i="7" s="1"/>
  <c r="AF56" i="7"/>
  <c r="AF73" i="7" s="1"/>
  <c r="AF78" i="7" s="1"/>
  <c r="AF79" i="7" s="1"/>
  <c r="AB73" i="7"/>
  <c r="AB79" i="7" s="1"/>
  <c r="BO73" i="7"/>
  <c r="BO78" i="7" s="1"/>
  <c r="BO79" i="7" s="1"/>
  <c r="BU73" i="7"/>
  <c r="BU78" i="7" s="1"/>
  <c r="BU79" i="7" s="1"/>
  <c r="BS73" i="7"/>
  <c r="BS78" i="7" s="1"/>
  <c r="BS79" i="7" s="1"/>
  <c r="AL78" i="7"/>
  <c r="AL79" i="7" s="1"/>
  <c r="AR10" i="7"/>
  <c r="AP19" i="7"/>
  <c r="B80" i="5"/>
  <c r="AP62" i="7"/>
  <c r="AR62" i="7" s="1"/>
  <c r="B121" i="4"/>
  <c r="B87" i="3"/>
  <c r="AP40" i="7"/>
  <c r="AR77" i="7"/>
  <c r="S73" i="7"/>
  <c r="B100" i="3"/>
  <c r="B40" i="4"/>
  <c r="B41" i="4" s="1"/>
  <c r="B105" i="4"/>
  <c r="B122" i="4" s="1"/>
  <c r="B100" i="5"/>
  <c r="B101" i="5" s="1"/>
  <c r="B102" i="5" s="1"/>
  <c r="AP33" i="7"/>
  <c r="AR33" i="7" s="1"/>
  <c r="AR29" i="7"/>
  <c r="B35" i="3"/>
  <c r="B36" i="3" s="1"/>
  <c r="Z79" i="7"/>
  <c r="X73" i="7"/>
  <c r="AY73" i="7"/>
  <c r="B89" i="5"/>
  <c r="AR25" i="7"/>
  <c r="AR58" i="7"/>
  <c r="AR65" i="7"/>
  <c r="B113" i="3"/>
  <c r="AN73" i="7"/>
  <c r="AP38" i="7"/>
  <c r="AR38" i="7" s="1"/>
  <c r="AR75" i="7"/>
  <c r="B57" i="3"/>
  <c r="B114" i="3" s="1"/>
  <c r="BC78" i="7" l="1"/>
  <c r="AB78" i="7"/>
  <c r="BA79" i="7"/>
  <c r="B123" i="4"/>
  <c r="B124" i="4" s="1"/>
  <c r="AR19" i="7"/>
  <c r="AP56" i="7"/>
  <c r="AR56" i="7" s="1"/>
  <c r="AR40" i="7"/>
  <c r="B115" i="3"/>
  <c r="B116" i="3" s="1"/>
  <c r="AP73" i="7"/>
  <c r="AP78" i="7" s="1"/>
  <c r="AP79" i="7" s="1"/>
  <c r="AN78" i="7"/>
  <c r="AR73" i="7" l="1"/>
  <c r="AR78" i="7"/>
  <c r="AN79" i="7"/>
  <c r="AR79" i="7" s="1"/>
</calcChain>
</file>

<file path=xl/sharedStrings.xml><?xml version="1.0" encoding="utf-8"?>
<sst xmlns="http://schemas.openxmlformats.org/spreadsheetml/2006/main" count="2501" uniqueCount="847">
  <si>
    <t>Date</t>
  </si>
  <si>
    <t>Transaction Type</t>
  </si>
  <si>
    <t>Num</t>
  </si>
  <si>
    <t>Name</t>
  </si>
  <si>
    <t>Memo/Description</t>
  </si>
  <si>
    <t>Split</t>
  </si>
  <si>
    <t>Amount</t>
  </si>
  <si>
    <t>Balance</t>
  </si>
  <si>
    <t>BMES PTA Checking Account</t>
  </si>
  <si>
    <t>07/28/2018</t>
  </si>
  <si>
    <t>Deposit</t>
  </si>
  <si>
    <t>-Split-</t>
  </si>
  <si>
    <t>08/13/2018</t>
  </si>
  <si>
    <t>Amazon deposit</t>
  </si>
  <si>
    <t>Other Income:Other Income - Other</t>
  </si>
  <si>
    <t>08/26/2018</t>
  </si>
  <si>
    <t>Check</t>
  </si>
  <si>
    <t>Bess Siegal</t>
  </si>
  <si>
    <t>Spirit Wear:Spirit Wear - COGS</t>
  </si>
  <si>
    <t>Administration:Website Fees</t>
  </si>
  <si>
    <t>08/31/2018</t>
  </si>
  <si>
    <t>Carmen's Italian Ice</t>
  </si>
  <si>
    <t>Staff Appreciation:Staff Breakfasts:Staff Breakfast - Expense</t>
  </si>
  <si>
    <t>Jennifer Obendorfer</t>
  </si>
  <si>
    <t>Academic Improvement:Teacher Fund</t>
  </si>
  <si>
    <t>09/02/2018</t>
  </si>
  <si>
    <t>09/04/2018</t>
  </si>
  <si>
    <t>09/06/2018</t>
  </si>
  <si>
    <t>School Mate</t>
  </si>
  <si>
    <t>Student Affairs:Organizers for Students</t>
  </si>
  <si>
    <t>Sarah Kanter</t>
  </si>
  <si>
    <t>Bethany McClary</t>
  </si>
  <si>
    <t>09/12/2018</t>
  </si>
  <si>
    <t>Matthew Nocente</t>
  </si>
  <si>
    <t>Commerce-MSAC</t>
  </si>
  <si>
    <t>Cultural Arts:Poet In Residence</t>
  </si>
  <si>
    <t>09/14/2018</t>
  </si>
  <si>
    <t>09/17/2018</t>
  </si>
  <si>
    <t>Reptiles Alive</t>
  </si>
  <si>
    <t>School Events:Club Bells Mill:CBM - Expenses</t>
  </si>
  <si>
    <t>09/21/2018</t>
  </si>
  <si>
    <t>Vincent Narh</t>
  </si>
  <si>
    <t>School Events:Back to School Picnic:BTS Picnic - Expense</t>
  </si>
  <si>
    <t>Lisa Miller</t>
  </si>
  <si>
    <t>09/22/2018</t>
  </si>
  <si>
    <t>09/23/2018</t>
  </si>
  <si>
    <t>MCCPTA</t>
  </si>
  <si>
    <t>428 parents, 15 teachers</t>
  </si>
  <si>
    <t>Membership:Membership - Payments to PTA</t>
  </si>
  <si>
    <t>Andrea Weisenthal</t>
  </si>
  <si>
    <t>Rachel Rabin</t>
  </si>
  <si>
    <t>Maryland PTA</t>
  </si>
  <si>
    <t>428 parents; 15 teachers</t>
  </si>
  <si>
    <t>09/26/2018</t>
  </si>
  <si>
    <t>Ellen Bedell</t>
  </si>
  <si>
    <t>Geena Goodhand</t>
  </si>
  <si>
    <t>Jennifer Park</t>
  </si>
  <si>
    <t>Shelley Hyland</t>
  </si>
  <si>
    <t>Administration:Office Supplies &amp; Expense</t>
  </si>
  <si>
    <t>09/27/2018</t>
  </si>
  <si>
    <t>Tina Ehtiati</t>
  </si>
  <si>
    <t>10/01/2018</t>
  </si>
  <si>
    <t>School Events:Back to School Picnic:BTS Picnic - Revenue</t>
  </si>
  <si>
    <t>10/02/2018</t>
  </si>
  <si>
    <t>Michelle Martin</t>
  </si>
  <si>
    <t>Book Fair:Book Fair - Other Expense</t>
  </si>
  <si>
    <t>Jennifer Barlow</t>
  </si>
  <si>
    <t>Cultural Arts:Cultural Arts - Other Expense</t>
  </si>
  <si>
    <t>10/05/2018</t>
  </si>
  <si>
    <t>10/10/2018</t>
  </si>
  <si>
    <t>Julie Cerveny</t>
  </si>
  <si>
    <t>Book Fair:Book Fair - Revenue</t>
  </si>
  <si>
    <t>10/11/2018</t>
  </si>
  <si>
    <t>Kerry Iseman</t>
  </si>
  <si>
    <t>10/17/2018</t>
  </si>
  <si>
    <t>10/19/2018</t>
  </si>
  <si>
    <t>ABC Tees</t>
  </si>
  <si>
    <t>10/24/2018</t>
  </si>
  <si>
    <t>Cheryl Katz</t>
  </si>
  <si>
    <t>School Events:Principal's Teas</t>
  </si>
  <si>
    <t>Megan Lang</t>
  </si>
  <si>
    <t>10/29/2018</t>
  </si>
  <si>
    <t>10/31/2018</t>
  </si>
  <si>
    <t>Amy Stolker</t>
  </si>
  <si>
    <t>Scholastic Books</t>
  </si>
  <si>
    <t>Book Fair:Book Fair - COGS</t>
  </si>
  <si>
    <t>11/02/2018</t>
  </si>
  <si>
    <t>School Events:Club Bells Mill:CBM - Other Revenues</t>
  </si>
  <si>
    <t>Inverness Recreation Club</t>
  </si>
  <si>
    <t>Donations:Donations - Vendors</t>
  </si>
  <si>
    <t>Membership:Membership - Revenue</t>
  </si>
  <si>
    <t>11/03/2018</t>
  </si>
  <si>
    <t>11/05/2018</t>
  </si>
  <si>
    <t>11/07/2018</t>
  </si>
  <si>
    <t>Devin Donaldson</t>
  </si>
  <si>
    <t>11/10/2018</t>
  </si>
  <si>
    <t>Potomac Pizza</t>
  </si>
  <si>
    <t>Swank Movie Licensing</t>
  </si>
  <si>
    <t>Academic Improvement:Academic Improvement - Other</t>
  </si>
  <si>
    <t>Drew Owen</t>
  </si>
  <si>
    <t>11/14/2018</t>
  </si>
  <si>
    <t>Ellen Pickering</t>
  </si>
  <si>
    <t>School Events:Club Bells Mill:CBM - Membership Revenues</t>
  </si>
  <si>
    <t>California Tortilla</t>
  </si>
  <si>
    <t>Restaurant / Ice Cream Events:Restaurant / Ice Cream - Rev</t>
  </si>
  <si>
    <t>Erik Wang</t>
  </si>
  <si>
    <t>School Events:Ice Skating Night:Skate Night - Revenue</t>
  </si>
  <si>
    <t>Amy Rogstad</t>
  </si>
  <si>
    <t>Restaurant / Ice Cream Events:Restaurant / Ice C - Other Exp</t>
  </si>
  <si>
    <t>School Events:Ice Skating Night:Skate Night - Expense</t>
  </si>
  <si>
    <t>11/19/2018</t>
  </si>
  <si>
    <t>11/21/2018</t>
  </si>
  <si>
    <t>California Tortilla Cards:Cal Tort cards - Revenue</t>
  </si>
  <si>
    <t>Other Expense:Other Expense - Other</t>
  </si>
  <si>
    <t>11/26/2018</t>
  </si>
  <si>
    <t>11/27/2018</t>
  </si>
  <si>
    <t>AtoZ Directories</t>
  </si>
  <si>
    <t>California Tortilla Cards:Cal Tort cards - COGS</t>
  </si>
  <si>
    <t>11/29/2018</t>
  </si>
  <si>
    <t>12/01/2018</t>
  </si>
  <si>
    <t>12/10/2018</t>
  </si>
  <si>
    <t>Tally Ho Pizza</t>
  </si>
  <si>
    <t>Bells Mill ES</t>
  </si>
  <si>
    <t>Maryland Secretary of State</t>
  </si>
  <si>
    <t>Lindsay Wilkes</t>
  </si>
  <si>
    <t>12/15/2018</t>
  </si>
  <si>
    <t>Mad Science of Washington</t>
  </si>
  <si>
    <t>12/17/2018</t>
  </si>
  <si>
    <t>12/21/2018</t>
  </si>
  <si>
    <t>12/22/2018</t>
  </si>
  <si>
    <t>01/02/2019</t>
  </si>
  <si>
    <t>Haylie Iseman</t>
  </si>
  <si>
    <t>Staff Appreciation:Staff Lunches:Staff Lunches - Expense</t>
  </si>
  <si>
    <t>01/16/2019</t>
  </si>
  <si>
    <t>Robert Hirsch</t>
  </si>
  <si>
    <t>01/18/2019</t>
  </si>
  <si>
    <t>Nicole Harris</t>
  </si>
  <si>
    <t>01/19/2019</t>
  </si>
  <si>
    <t>Directory:Directory - Sponsorship</t>
  </si>
  <si>
    <t>01/23/2019</t>
  </si>
  <si>
    <t>Voided</t>
  </si>
  <si>
    <t>Cara Davidson</t>
  </si>
  <si>
    <t>01/28/2019</t>
  </si>
  <si>
    <t>Julie Peller</t>
  </si>
  <si>
    <t>School Events:Movie Night</t>
  </si>
  <si>
    <t>02/02/2019</t>
  </si>
  <si>
    <t>02/04/2019</t>
  </si>
  <si>
    <t>02/06/2019</t>
  </si>
  <si>
    <t>02/11/2019</t>
  </si>
  <si>
    <t>Montgomery County School Safety Committee</t>
  </si>
  <si>
    <t>Student Affairs:Fifth Grade Patrol Picnic</t>
  </si>
  <si>
    <t>02/15/2019</t>
  </si>
  <si>
    <t>Other Income</t>
  </si>
  <si>
    <t>02/27/2019</t>
  </si>
  <si>
    <t>03/02/2019</t>
  </si>
  <si>
    <t>03/08/2019</t>
  </si>
  <si>
    <t>Montgomery County, Maryland</t>
  </si>
  <si>
    <t>School Events:Family Fun / Bingo Night:Bingo Night - Expense</t>
  </si>
  <si>
    <t>03/20/2019</t>
  </si>
  <si>
    <t>Catherine Matthews</t>
  </si>
  <si>
    <t>04/01/2019</t>
  </si>
  <si>
    <t>We're Having a Party</t>
  </si>
  <si>
    <t>School Events:Bells Mill Bash:Bash - Expense</t>
  </si>
  <si>
    <t>Baskin Robbins</t>
  </si>
  <si>
    <t>04/12/2019</t>
  </si>
  <si>
    <t>Odyssey of the Mind</t>
  </si>
  <si>
    <t>Student Affairs:Odyssey of the Mind</t>
  </si>
  <si>
    <t>04/26/2019</t>
  </si>
  <si>
    <t>04/27/2019</t>
  </si>
  <si>
    <t>Restaurant / Ice Cream Events:Restaurant Nights - Vouchers</t>
  </si>
  <si>
    <t>School Events:Family Fun / Bingo Night:Bingo Night - Revenue</t>
  </si>
  <si>
    <t>04/28/2019</t>
  </si>
  <si>
    <t>Lindsey Angle</t>
  </si>
  <si>
    <t>School Events:Kindergarten Orientation</t>
  </si>
  <si>
    <t>04/29/2019</t>
  </si>
  <si>
    <t>Bridget Flaherty</t>
  </si>
  <si>
    <t>05/02/2019</t>
  </si>
  <si>
    <t>05/03/2019</t>
  </si>
  <si>
    <t>Genna Drazen</t>
  </si>
  <si>
    <t>School Events:School Events - Other</t>
  </si>
  <si>
    <t>05/07/2019</t>
  </si>
  <si>
    <t>05/09/2019</t>
  </si>
  <si>
    <t>05/13/2019</t>
  </si>
  <si>
    <t>Staff Appreciation:Staff Appreciation Week:SA Week - Expense</t>
  </si>
  <si>
    <t>05/17/2019</t>
  </si>
  <si>
    <t>Tiffany Jackson</t>
  </si>
  <si>
    <t>Youngshin Kim</t>
  </si>
  <si>
    <t>Student Affairs:Recess:Recess - Outdoor</t>
  </si>
  <si>
    <t>05/22/2019</t>
  </si>
  <si>
    <t>Debra Taylor</t>
  </si>
  <si>
    <t>Staff Appreciation:Staff Appreciation Week:SA Week - Revenue</t>
  </si>
  <si>
    <t>05/24/2019</t>
  </si>
  <si>
    <t>Nikki Margolis</t>
  </si>
  <si>
    <t>Sarah ONeill</t>
  </si>
  <si>
    <t>05/27/2019</t>
  </si>
  <si>
    <t>Knight Insurance Services, Inc</t>
  </si>
  <si>
    <t>Administration:Liability Insurance</t>
  </si>
  <si>
    <t>Wesley Eifler</t>
  </si>
  <si>
    <t>Student Affairs:Fifth Grade Promotion:Fifth Grade - Passthroughs</t>
  </si>
  <si>
    <t>Cosmic Adventures</t>
  </si>
  <si>
    <t>Cultural Arts:Assemblies</t>
  </si>
  <si>
    <t>05/29/2019</t>
  </si>
  <si>
    <t>Georgia Karamalikis</t>
  </si>
  <si>
    <t>School Events:International Night</t>
  </si>
  <si>
    <t>Debra Fleischer</t>
  </si>
  <si>
    <t>Student Affairs:Recess:Recess - Indoor</t>
  </si>
  <si>
    <t>Rachael Abramson</t>
  </si>
  <si>
    <t>05/31/2019</t>
  </si>
  <si>
    <t>Jennifer Levenberg</t>
  </si>
  <si>
    <t>Joanna Levine</t>
  </si>
  <si>
    <t>Rebecca Baras</t>
  </si>
  <si>
    <t>06/03/2019</t>
  </si>
  <si>
    <t>returned $200 6/8/19</t>
  </si>
  <si>
    <t>Kelsey Hickey</t>
  </si>
  <si>
    <t>06/04/2019</t>
  </si>
  <si>
    <t>Diane Lurye</t>
  </si>
  <si>
    <t>Audre Park</t>
  </si>
  <si>
    <t>Student Affairs:Student Affairs - Other:SA - Other - Expense</t>
  </si>
  <si>
    <t>Rebecca Hirsch</t>
  </si>
  <si>
    <t>06/07/2019</t>
  </si>
  <si>
    <t>Student Affairs:Fifth Grade Promotion</t>
  </si>
  <si>
    <t>06/08/2019</t>
  </si>
  <si>
    <t>School Events:Bells Mill Bash:Bash - Revenue</t>
  </si>
  <si>
    <t>Jennifer Dugan</t>
  </si>
  <si>
    <t>School Events:Science Fair</t>
  </si>
  <si>
    <t>Jialu Zhang</t>
  </si>
  <si>
    <t>School Events:Geography Bowl</t>
  </si>
  <si>
    <t>06/10/2019</t>
  </si>
  <si>
    <t>06/13/2019</t>
  </si>
  <si>
    <t>Kellie Zuba</t>
  </si>
  <si>
    <t>Bharathi Venkatraman</t>
  </si>
  <si>
    <t>Susan Thomson</t>
  </si>
  <si>
    <t>06/14/2019</t>
  </si>
  <si>
    <t>Joey Brookhart</t>
  </si>
  <si>
    <t>Staff Appreciation:Appreciation Fund</t>
  </si>
  <si>
    <t>06/21/2019</t>
  </si>
  <si>
    <t>Total for BMES PTA Checking Account</t>
  </si>
  <si>
    <t>Book Fair</t>
  </si>
  <si>
    <t xml:space="preserve">   Book Fair - COGS</t>
  </si>
  <si>
    <t>Scholastic book fair reimbursement</t>
  </si>
  <si>
    <t xml:space="preserve">   Total for Book Fair - COGS</t>
  </si>
  <si>
    <t xml:space="preserve">   Book Fair - Other Expense</t>
  </si>
  <si>
    <t>Cash advance</t>
  </si>
  <si>
    <t xml:space="preserve">   Total for Book Fair - Other Expense</t>
  </si>
  <si>
    <t xml:space="preserve">   Book Fair - Revenue</t>
  </si>
  <si>
    <t>Tues (10/9) cash/check sales</t>
  </si>
  <si>
    <t>Cash advance return</t>
  </si>
  <si>
    <t>Thurs (10/11) cash/check sales</t>
  </si>
  <si>
    <t>Wed (10/10) cash/check sales</t>
  </si>
  <si>
    <t>2 book fair checks turned in late</t>
  </si>
  <si>
    <t xml:space="preserve">   Total for Book Fair - Revenue</t>
  </si>
  <si>
    <t>Total for Book Fair</t>
  </si>
  <si>
    <t>California Tortilla Cards</t>
  </si>
  <si>
    <t xml:space="preserve">   Cal Tort cards - COGS</t>
  </si>
  <si>
    <t>Payment for 75 cards (fall drive)</t>
  </si>
  <si>
    <t xml:space="preserve">   Total for Cal Tort cards - COGS</t>
  </si>
  <si>
    <t xml:space="preserve">   Cal Tort cards - Revenue</t>
  </si>
  <si>
    <t>Cal Tort sales (November 2018; 75 cards)</t>
  </si>
  <si>
    <t xml:space="preserve">   Total for Cal Tort cards - Revenue</t>
  </si>
  <si>
    <t>Total for California Tortilla Cards</t>
  </si>
  <si>
    <t>Directory</t>
  </si>
  <si>
    <t xml:space="preserve">   Directory - Sales</t>
  </si>
  <si>
    <t>2 print directories</t>
  </si>
  <si>
    <t xml:space="preserve">   Total for Directory - Sales</t>
  </si>
  <si>
    <t xml:space="preserve">   Directory - Sponsorship</t>
  </si>
  <si>
    <t>Directory sponsorship</t>
  </si>
  <si>
    <t xml:space="preserve">   Total for Directory - Sponsorship</t>
  </si>
  <si>
    <t>Total for Directory</t>
  </si>
  <si>
    <t>Donations</t>
  </si>
  <si>
    <t xml:space="preserve">   Donations - Members</t>
  </si>
  <si>
    <t>2 parents (1 family) donation</t>
  </si>
  <si>
    <t>8 parents (4 families) donations</t>
  </si>
  <si>
    <t>2 parents (1 family), 1 teacher donations</t>
  </si>
  <si>
    <t>10 parents (5 family) donations</t>
  </si>
  <si>
    <t>8 parents (4 families)</t>
  </si>
  <si>
    <t>5 families (10 parents) donations</t>
  </si>
  <si>
    <t>1 family donation (2 parents)</t>
  </si>
  <si>
    <t>184 family memberships (368 parents) Aug 1 - Sep 23, 2018</t>
  </si>
  <si>
    <t>1 family (2 parents)</t>
  </si>
  <si>
    <t>2 families (4 parents)</t>
  </si>
  <si>
    <t>16 family donations</t>
  </si>
  <si>
    <t>25 family donations</t>
  </si>
  <si>
    <t>14 family donations</t>
  </si>
  <si>
    <t>2 families</t>
  </si>
  <si>
    <t>6 families</t>
  </si>
  <si>
    <t>Teacher donation</t>
  </si>
  <si>
    <t>1 family donation</t>
  </si>
  <si>
    <t xml:space="preserve">   Total for Donations - Members</t>
  </si>
  <si>
    <t xml:space="preserve">   Donations - Vendors</t>
  </si>
  <si>
    <t>Referral donation</t>
  </si>
  <si>
    <t>EPI classroom supplies donation</t>
  </si>
  <si>
    <t>vendor donation (unsolicited)</t>
  </si>
  <si>
    <t xml:space="preserve">   Total for Donations - Vendors</t>
  </si>
  <si>
    <t>Total for Donations</t>
  </si>
  <si>
    <t>Membership</t>
  </si>
  <si>
    <t xml:space="preserve">   Membership - Payments to PTA</t>
  </si>
  <si>
    <t>MCCPTA dues 443 members (Aug. 1 - Sep. 23, 2018)</t>
  </si>
  <si>
    <t>MDPTA dues for 443 members (Aug. 1-Sept. 23, 2018)</t>
  </si>
  <si>
    <t>Oct and Nov dues (through 11/23)</t>
  </si>
  <si>
    <t>October and November dues (through 11/23)</t>
  </si>
  <si>
    <t xml:space="preserve">   Total for Membership - Payments to PTA</t>
  </si>
  <si>
    <t xml:space="preserve">   Membership - Revenue</t>
  </si>
  <si>
    <t>8 parents (4 families) memberships</t>
  </si>
  <si>
    <t>6 parents (3 families), 6 teacher memberships</t>
  </si>
  <si>
    <t>10 parents (5 family) memberships</t>
  </si>
  <si>
    <t>2 parents (1 family) membership</t>
  </si>
  <si>
    <t>12 parents (6 families), 4 teacher memberships</t>
  </si>
  <si>
    <t>6 families (12 parents) and 5 teachers memberships</t>
  </si>
  <si>
    <t>1 family membership (2 parents)</t>
  </si>
  <si>
    <t>184 family memberships (368 parents) Aug. 1 - Sep 23, 2018</t>
  </si>
  <si>
    <t>2 families (4 parents), 1 teacher</t>
  </si>
  <si>
    <t>22 families (44 parents)</t>
  </si>
  <si>
    <t>2 teacher memberships</t>
  </si>
  <si>
    <t>20 families (40 parents) members</t>
  </si>
  <si>
    <t>16 families (32 parents) memberships</t>
  </si>
  <si>
    <t>8 families (16 parents) &amp; 7 teachers</t>
  </si>
  <si>
    <t>1 family (2 parents); 7 teachers</t>
  </si>
  <si>
    <t>Teacher membership (1)</t>
  </si>
  <si>
    <t>1 teacher membership</t>
  </si>
  <si>
    <t>4 family memberships</t>
  </si>
  <si>
    <t xml:space="preserve">   Total for Membership - Revenue</t>
  </si>
  <si>
    <t>Total for Membership</t>
  </si>
  <si>
    <t>Amazon smile (Feb)</t>
  </si>
  <si>
    <t xml:space="preserve">   Total for Other Income</t>
  </si>
  <si>
    <t xml:space="preserve">   Other Income - Other</t>
  </si>
  <si>
    <t>Amazon smile</t>
  </si>
  <si>
    <t>Amazon Smile</t>
  </si>
  <si>
    <t>Amazon smile deposit</t>
  </si>
  <si>
    <t xml:space="preserve">   Total for Other Income - Other</t>
  </si>
  <si>
    <t>Total for Other Income with sub-accounts</t>
  </si>
  <si>
    <t>Restaurant / Ice Cream Events</t>
  </si>
  <si>
    <t xml:space="preserve">   Restaurant / Ice C - Other Exp</t>
  </si>
  <si>
    <t>Teacher gifts and dinner</t>
  </si>
  <si>
    <t>Scoop night gift cards</t>
  </si>
  <si>
    <t xml:space="preserve">   Total for Restaurant / Ice C - Other Exp</t>
  </si>
  <si>
    <t xml:space="preserve">   Restaurant / Ice Cream - Rev</t>
  </si>
  <si>
    <t>Cal Tort revenue (scoop night (10/24/18)</t>
  </si>
  <si>
    <t>Tally Ho revenue</t>
  </si>
  <si>
    <t>B&amp;R profit from fall scoop night</t>
  </si>
  <si>
    <t>scoop night #2</t>
  </si>
  <si>
    <t>Cal Tort profit (scoop night spring)</t>
  </si>
  <si>
    <t xml:space="preserve">   Total for Restaurant / Ice Cream - Rev</t>
  </si>
  <si>
    <t xml:space="preserve">   Restaurant Nights - Vouchers</t>
  </si>
  <si>
    <t>Potomac Pizza night (9/27/18)</t>
  </si>
  <si>
    <t>Shake Shack restaurant night</t>
  </si>
  <si>
    <t>Potomac Pizza Night #2</t>
  </si>
  <si>
    <t xml:space="preserve">   Total for Restaurant Nights - Vouchers</t>
  </si>
  <si>
    <t>Total for Restaurant / Ice Cream Events</t>
  </si>
  <si>
    <t>Spirit Wear</t>
  </si>
  <si>
    <t xml:space="preserve">   Spirit Wear - COGS</t>
  </si>
  <si>
    <t>August 2018 spirit wear order</t>
  </si>
  <si>
    <t>Deposit for back to school sale (9/24-10/14)</t>
  </si>
  <si>
    <t>Remaining balance for back to school sale (9/24 - 10/14)</t>
  </si>
  <si>
    <t>Spirit Wear sales (Teacher orders)</t>
  </si>
  <si>
    <t xml:space="preserve">   Total for Spirit Wear - COGS</t>
  </si>
  <si>
    <t xml:space="preserve">   Spirit Wear - Revenue</t>
  </si>
  <si>
    <t>Spirit wear August orders</t>
  </si>
  <si>
    <t>Orders (Aug. 10-Sep. 23, 2018)</t>
  </si>
  <si>
    <t>Orders for Fall sale (9/25 to 10/14/18)</t>
  </si>
  <si>
    <t>Spirit wear orders (teacher's drive)</t>
  </si>
  <si>
    <t xml:space="preserve">   Total for Spirit Wear - Revenue</t>
  </si>
  <si>
    <t>Total for Spirit Wear</t>
  </si>
  <si>
    <t>Academic Improvement</t>
  </si>
  <si>
    <t xml:space="preserve">   Academic Improvement - Other</t>
  </si>
  <si>
    <t>School wide movie license (Dec. 31, 2018-Dec. 30, 2019)</t>
  </si>
  <si>
    <t>Splash Math License for 1 year</t>
  </si>
  <si>
    <t xml:space="preserve">   Total for Academic Improvement - Other</t>
  </si>
  <si>
    <t xml:space="preserve">   Teacher Fund</t>
  </si>
  <si>
    <t>teacher reimbursement ($150 max)</t>
  </si>
  <si>
    <t>Teacher reimbursement ($150 max)</t>
  </si>
  <si>
    <t>Expense reimbursement ($150 max)</t>
  </si>
  <si>
    <t>expense reimbursement ($150 max)</t>
  </si>
  <si>
    <t>Supplies</t>
  </si>
  <si>
    <t>Teacher reimbursement</t>
  </si>
  <si>
    <t>Reimbursement for supplies</t>
  </si>
  <si>
    <t>New teacher reimbursement ($300)</t>
  </si>
  <si>
    <t>class expenses</t>
  </si>
  <si>
    <t>Classroom supplies</t>
  </si>
  <si>
    <t>Classroom supplies (new teacher)</t>
  </si>
  <si>
    <t>teacher reimbursement</t>
  </si>
  <si>
    <t>New teacher/staff reimbursement</t>
  </si>
  <si>
    <t>Popcicles</t>
  </si>
  <si>
    <t xml:space="preserve">   Total for Teacher Fund</t>
  </si>
  <si>
    <t>Total for Academic Improvement</t>
  </si>
  <si>
    <t>Administration</t>
  </si>
  <si>
    <t xml:space="preserve">   Liability Insurance</t>
  </si>
  <si>
    <t>2019-2020 insurance fee</t>
  </si>
  <si>
    <t xml:space="preserve">   Total for Liability Insurance</t>
  </si>
  <si>
    <t xml:space="preserve">   Office Supplies &amp; Expense</t>
  </si>
  <si>
    <t>Treasurer supplies (envelopes, ink, paper)</t>
  </si>
  <si>
    <t>Labels and envelopes for donation drive</t>
  </si>
  <si>
    <t>Conference speaker</t>
  </si>
  <si>
    <t>upgraded speaker for PTA meetings</t>
  </si>
  <si>
    <t>Box Top return postage</t>
  </si>
  <si>
    <t xml:space="preserve">   Total for Office Supplies &amp; Expense</t>
  </si>
  <si>
    <t xml:space="preserve">   Website Fees</t>
  </si>
  <si>
    <t>Annual Feedblitz newsletter subscription</t>
  </si>
  <si>
    <t>Go Daddy.com linux renewal</t>
  </si>
  <si>
    <t>Domain renewal (2 years)</t>
  </si>
  <si>
    <t xml:space="preserve">   Total for Website Fees</t>
  </si>
  <si>
    <t>Total for Administration</t>
  </si>
  <si>
    <t>Cultural Arts</t>
  </si>
  <si>
    <t xml:space="preserve">   Assemblies</t>
  </si>
  <si>
    <t>Assembly k-2 students, 5/30/19</t>
  </si>
  <si>
    <t xml:space="preserve">   Total for Assemblies</t>
  </si>
  <si>
    <t xml:space="preserve">   Cultural Arts - Other Expense</t>
  </si>
  <si>
    <t>Reflections Art display board rental</t>
  </si>
  <si>
    <t>Reflections Art supplies</t>
  </si>
  <si>
    <t xml:space="preserve">   Total for Cultural Arts - Other Expense</t>
  </si>
  <si>
    <t xml:space="preserve">   Poet In Residence</t>
  </si>
  <si>
    <t>Artist in residence (5th grade, drama director)</t>
  </si>
  <si>
    <t xml:space="preserve">   Total for Poet In Residence</t>
  </si>
  <si>
    <t>Total for Cultural Arts</t>
  </si>
  <si>
    <t>Other Expense</t>
  </si>
  <si>
    <t xml:space="preserve">   Other Expense - Other</t>
  </si>
  <si>
    <t>Quickbook annual fee and postage to mail 990</t>
  </si>
  <si>
    <t>Annual charitable renewal</t>
  </si>
  <si>
    <t>Annual Charitable Renewal (VOIDED check)</t>
  </si>
  <si>
    <t xml:space="preserve">   Total for Other Expense - Other</t>
  </si>
  <si>
    <t xml:space="preserve">   Paypal Fees</t>
  </si>
  <si>
    <t>PayPal fees for spirit wear August orders</t>
  </si>
  <si>
    <t>fees for spirit wear (Aug. 1 - Sep. 23, 2018)</t>
  </si>
  <si>
    <t>fees for 184 families (Aug. 1 - Sep 23, 2018)</t>
  </si>
  <si>
    <t>1 family membership and donation</t>
  </si>
  <si>
    <t>PayPal fees for deposit 10/17/18</t>
  </si>
  <si>
    <t>PayPal fees for deposit on 11/3/2018</t>
  </si>
  <si>
    <t>Memberships &amp; donations</t>
  </si>
  <si>
    <t>PayPal fees for 12/21/18 deposit</t>
  </si>
  <si>
    <t>Jan/feb membership fees</t>
  </si>
  <si>
    <t>fees from print directories</t>
  </si>
  <si>
    <t xml:space="preserve">   Total for Paypal Fees</t>
  </si>
  <si>
    <t xml:space="preserve">   Square Fees</t>
  </si>
  <si>
    <t>Square fees (8/31/18 memberships, donation)</t>
  </si>
  <si>
    <t>Square fees back to school night k-2 (10 parents)</t>
  </si>
  <si>
    <t>Square fees back to school night 3-5 (2 parents)</t>
  </si>
  <si>
    <t>CBM ticket sale fees</t>
  </si>
  <si>
    <t>CBM admission/food</t>
  </si>
  <si>
    <t xml:space="preserve">   Total for Square Fees</t>
  </si>
  <si>
    <t>Total for Other Expense</t>
  </si>
  <si>
    <t>School Events</t>
  </si>
  <si>
    <t xml:space="preserve">   Back to School Picnic</t>
  </si>
  <si>
    <t xml:space="preserve">      BTS Picnic - Expense</t>
  </si>
  <si>
    <t>DJ services</t>
  </si>
  <si>
    <t>Montgomery county reservation</t>
  </si>
  <si>
    <t xml:space="preserve">      Total for BTS Picnic - Expense</t>
  </si>
  <si>
    <t xml:space="preserve">      BTS Picnic - Revenue</t>
  </si>
  <si>
    <t>Profit from ice cream sales  back to school picnic</t>
  </si>
  <si>
    <t>Potomac Pizza Picnic revenue</t>
  </si>
  <si>
    <t xml:space="preserve">      Total for BTS Picnic - Revenue</t>
  </si>
  <si>
    <t xml:space="preserve">   Total for Back to School Picnic</t>
  </si>
  <si>
    <t xml:space="preserve">   Bells Mill Bash</t>
  </si>
  <si>
    <t xml:space="preserve">      Bash - Expense</t>
  </si>
  <si>
    <t>Inflatables deposit</t>
  </si>
  <si>
    <t>Bash damage waiver deposit (popcorn/cotton candy)</t>
  </si>
  <si>
    <t>Bash backpack flyers</t>
  </si>
  <si>
    <t>Cash advance for cash box</t>
  </si>
  <si>
    <t>Remaining balance for inflatables and face painters</t>
  </si>
  <si>
    <t>Crafts and table covers; voucher printing</t>
  </si>
  <si>
    <t xml:space="preserve">      Total for Bash - Expense</t>
  </si>
  <si>
    <t xml:space="preserve">      Bash - Revenue</t>
  </si>
  <si>
    <t>Potomac Pizza revenue (Bash)</t>
  </si>
  <si>
    <t>Ticket Sales (281 x $15)</t>
  </si>
  <si>
    <t>Fred's Ice Cream 20% profit minus vouchers</t>
  </si>
  <si>
    <t xml:space="preserve">      Total for Bash - Revenue</t>
  </si>
  <si>
    <t xml:space="preserve">   Total for Bells Mill Bash</t>
  </si>
  <si>
    <t xml:space="preserve">   Club Bells Mill</t>
  </si>
  <si>
    <t xml:space="preserve">      CBM - Expenses</t>
  </si>
  <si>
    <t>Reptiles Alive entertainment for first CBM (Nov. 10)</t>
  </si>
  <si>
    <t>Montgomery county reservations (4 nights)</t>
  </si>
  <si>
    <t>November CBM cash advance</t>
  </si>
  <si>
    <t>Magic show (November CBM)</t>
  </si>
  <si>
    <t>DJ and gym games (November CBM)</t>
  </si>
  <si>
    <t>CBM tickets</t>
  </si>
  <si>
    <t>December entertainment</t>
  </si>
  <si>
    <t>DJ, Popcorn, gym games</t>
  </si>
  <si>
    <t>Candy (December CBM)</t>
  </si>
  <si>
    <t>Cash Advance (void)--no form submitted (Feb CBM)</t>
  </si>
  <si>
    <t>Entertainment (Feb)</t>
  </si>
  <si>
    <t>DJ, Gym games, popcorn, sno cones</t>
  </si>
  <si>
    <t xml:space="preserve">      Total for CBM - Expenses</t>
  </si>
  <si>
    <t xml:space="preserve">      CBM - Membership Revenues</t>
  </si>
  <si>
    <t>Tickets and food sales</t>
  </si>
  <si>
    <t>ticket sales</t>
  </si>
  <si>
    <t>Food and ticket sales (December 2018)</t>
  </si>
  <si>
    <t>1 child admission (Dec CBM)</t>
  </si>
  <si>
    <t>CBM Feb admission and food</t>
  </si>
  <si>
    <t xml:space="preserve">      Total for CBM - Membership Revenues</t>
  </si>
  <si>
    <t xml:space="preserve">      CBM - Other Revenues</t>
  </si>
  <si>
    <t>Refund for cancelled Reptiles Alive show (11/10)</t>
  </si>
  <si>
    <t>Cash advance refund</t>
  </si>
  <si>
    <t>food sales</t>
  </si>
  <si>
    <t xml:space="preserve">      Total for CBM - Other Revenues</t>
  </si>
  <si>
    <t xml:space="preserve">   Total for Club Bells Mill</t>
  </si>
  <si>
    <t xml:space="preserve">   Family Fun / Bingo Night</t>
  </si>
  <si>
    <t xml:space="preserve">      Bingo Night - Expense</t>
  </si>
  <si>
    <t>Bingo Night County License</t>
  </si>
  <si>
    <t>Bingo supplies rental, pizza</t>
  </si>
  <si>
    <t>prizes, water, cookies</t>
  </si>
  <si>
    <t xml:space="preserve">      Total for Bingo Night - Expense</t>
  </si>
  <si>
    <t xml:space="preserve">      Bingo Night - Revenue</t>
  </si>
  <si>
    <t>Admission sales</t>
  </si>
  <si>
    <t xml:space="preserve">      Total for Bingo Night - Revenue</t>
  </si>
  <si>
    <t xml:space="preserve">   Total for Family Fun / Bingo Night</t>
  </si>
  <si>
    <t xml:space="preserve">   Geography Bowl</t>
  </si>
  <si>
    <t>Trophies and ice cream</t>
  </si>
  <si>
    <t>Folders and copies</t>
  </si>
  <si>
    <t xml:space="preserve">   Total for Geography Bowl</t>
  </si>
  <si>
    <t xml:space="preserve">   Ice Skating Night</t>
  </si>
  <si>
    <t xml:space="preserve">      Skate Night - Expense</t>
  </si>
  <si>
    <t>Skate night rentals</t>
  </si>
  <si>
    <t xml:space="preserve">      Total for Skate Night - Expense</t>
  </si>
  <si>
    <t xml:space="preserve">      Skate Night - Revenue</t>
  </si>
  <si>
    <t>Skate night tickets sold</t>
  </si>
  <si>
    <t xml:space="preserve">      Total for Skate Night - Revenue</t>
  </si>
  <si>
    <t xml:space="preserve">   Total for Ice Skating Night</t>
  </si>
  <si>
    <t xml:space="preserve">   International Night</t>
  </si>
  <si>
    <t>International Night supplies</t>
  </si>
  <si>
    <t>Supplies (stamps, photo booth, etc)</t>
  </si>
  <si>
    <t xml:space="preserve">   Total for International Night</t>
  </si>
  <si>
    <t xml:space="preserve">   Kindergarten Orientation</t>
  </si>
  <si>
    <t>Balloons</t>
  </si>
  <si>
    <t>staff lunch</t>
  </si>
  <si>
    <t xml:space="preserve">   Total for Kindergarten Orientation</t>
  </si>
  <si>
    <t xml:space="preserve">   Movie Night</t>
  </si>
  <si>
    <t>Pizza sales</t>
  </si>
  <si>
    <t>Movie Night: Popcorn, Pizza, Water</t>
  </si>
  <si>
    <t xml:space="preserve">   Total for Movie Night</t>
  </si>
  <si>
    <t xml:space="preserve">   Principal's Teas</t>
  </si>
  <si>
    <t>tea expenses</t>
  </si>
  <si>
    <t>expenses</t>
  </si>
  <si>
    <t xml:space="preserve">   Total for Principal's Teas</t>
  </si>
  <si>
    <t xml:space="preserve">   School Events - Other</t>
  </si>
  <si>
    <t>Donuts for dad and muffins for mom Montgomery county reservation</t>
  </si>
  <si>
    <t>Muffins with Mom donations</t>
  </si>
  <si>
    <t>Muffins with Mom supplies</t>
  </si>
  <si>
    <t>Donuts for Dad donations</t>
  </si>
  <si>
    <t>Donuts for Dad expenses (donuts, juice, fruit)</t>
  </si>
  <si>
    <t>Donuts for Dad coffee and creamer</t>
  </si>
  <si>
    <t xml:space="preserve">   Total for School Events - Other</t>
  </si>
  <si>
    <t xml:space="preserve">   Science Fair</t>
  </si>
  <si>
    <t>Ribbons and Certificates</t>
  </si>
  <si>
    <t xml:space="preserve">   Total for Science Fair</t>
  </si>
  <si>
    <t>Total for School Events</t>
  </si>
  <si>
    <t>Staff Appreciation</t>
  </si>
  <si>
    <t xml:space="preserve">   Appreciation Fund</t>
  </si>
  <si>
    <t>Staff Appreciation gift cards December</t>
  </si>
  <si>
    <t>End of the year gift cards</t>
  </si>
  <si>
    <t xml:space="preserve">   Total for Appreciation Fund</t>
  </si>
  <si>
    <t xml:space="preserve">   Staff Appreciation Week</t>
  </si>
  <si>
    <t xml:space="preserve">      SA Week - Expense</t>
  </si>
  <si>
    <t>Staff appreciation week expenses (all)</t>
  </si>
  <si>
    <t>Bagels</t>
  </si>
  <si>
    <t xml:space="preserve">      Total for SA Week - Expense</t>
  </si>
  <si>
    <t xml:space="preserve">      SA Week - Revenue</t>
  </si>
  <si>
    <t>Parent donation</t>
  </si>
  <si>
    <t>2 parent donations</t>
  </si>
  <si>
    <t xml:space="preserve">      Total for SA Week - Revenue</t>
  </si>
  <si>
    <t xml:space="preserve">   Total for Staff Appreciation Week</t>
  </si>
  <si>
    <t xml:space="preserve">   Staff Breakfasts</t>
  </si>
  <si>
    <t xml:space="preserve">      Staff Breakfast - Expense</t>
  </si>
  <si>
    <t>Staff ice cream social</t>
  </si>
  <si>
    <t xml:space="preserve">      Total for Staff Breakfast - Expense</t>
  </si>
  <si>
    <t xml:space="preserve">   Total for Staff Breakfasts</t>
  </si>
  <si>
    <t xml:space="preserve">   Staff Lunches</t>
  </si>
  <si>
    <t xml:space="preserve">      Staff Lunches - Expense</t>
  </si>
  <si>
    <t>Staff Appreciation lunch</t>
  </si>
  <si>
    <t xml:space="preserve">      Total for Staff Lunches - Expense</t>
  </si>
  <si>
    <t xml:space="preserve">      Staff Lunches - Revenue</t>
  </si>
  <si>
    <t>Donation from parent for staff lunch</t>
  </si>
  <si>
    <t>SA Lunch donation Chinese American families</t>
  </si>
  <si>
    <t>Lunch donation</t>
  </si>
  <si>
    <t xml:space="preserve">      Total for Staff Lunches - Revenue</t>
  </si>
  <si>
    <t xml:space="preserve">   Total for Staff Lunches</t>
  </si>
  <si>
    <t>Total for Staff Appreciation</t>
  </si>
  <si>
    <t>Student Affairs</t>
  </si>
  <si>
    <t xml:space="preserve">   Fifth Grade Patrol Picnic</t>
  </si>
  <si>
    <t>88 patrols * $6 per patrol (Picnic on May 14)</t>
  </si>
  <si>
    <t xml:space="preserve">   Total for Fifth Grade Patrol Picnic</t>
  </si>
  <si>
    <t xml:space="preserve">   Fifth Grade Promotion</t>
  </si>
  <si>
    <t>Flag</t>
  </si>
  <si>
    <t>Pizza</t>
  </si>
  <si>
    <t>Programs</t>
  </si>
  <si>
    <t>Gluten free food</t>
  </si>
  <si>
    <t xml:space="preserve">      Total for Fifth Grade Promotion</t>
  </si>
  <si>
    <t xml:space="preserve">      Fifth Grade - Passthroughs</t>
  </si>
  <si>
    <t>5th grade promo shirts</t>
  </si>
  <si>
    <t>5th grade promotion socks</t>
  </si>
  <si>
    <t xml:space="preserve">      Total for Fifth Grade - Passthroughs</t>
  </si>
  <si>
    <t xml:space="preserve">   Total for Fifth Grade Promotion with sub-accounts</t>
  </si>
  <si>
    <t xml:space="preserve">   Odyssey of the Mind</t>
  </si>
  <si>
    <t>registration fees</t>
  </si>
  <si>
    <t xml:space="preserve">   Total for Odyssey of the Mind</t>
  </si>
  <si>
    <t xml:space="preserve">   Organizers for Students</t>
  </si>
  <si>
    <t>Student organizers</t>
  </si>
  <si>
    <t xml:space="preserve">   Total for Organizers for Students</t>
  </si>
  <si>
    <t xml:space="preserve">   Recess</t>
  </si>
  <si>
    <t xml:space="preserve">      Recess - Indoor</t>
  </si>
  <si>
    <t>Indoor games</t>
  </si>
  <si>
    <t xml:space="preserve">      Total for Recess - Indoor</t>
  </si>
  <si>
    <t xml:space="preserve">      Recess - Outdoor</t>
  </si>
  <si>
    <t>Outdoor supplies</t>
  </si>
  <si>
    <t>Paint and stencils for the blacktop</t>
  </si>
  <si>
    <t xml:space="preserve">      Total for Recess - Outdoor</t>
  </si>
  <si>
    <t xml:space="preserve">   Total for Recess</t>
  </si>
  <si>
    <t xml:space="preserve">   Student Affairs - Other</t>
  </si>
  <si>
    <t xml:space="preserve">      SA - Other - Expense</t>
  </si>
  <si>
    <t>Model UN expenses</t>
  </si>
  <si>
    <t xml:space="preserve">      Total for SA - Other - Expense</t>
  </si>
  <si>
    <t xml:space="preserve">   Total for Student Affairs - Other</t>
  </si>
  <si>
    <t xml:space="preserve">   Yearbook</t>
  </si>
  <si>
    <t xml:space="preserve">      Yearbook - Revenue</t>
  </si>
  <si>
    <t>Yearbook profit</t>
  </si>
  <si>
    <t xml:space="preserve">      Total for Yearbook - Revenue</t>
  </si>
  <si>
    <t xml:space="preserve">   Total for Yearbook</t>
  </si>
  <si>
    <t>Total for Student Affairs</t>
  </si>
  <si>
    <t>Wednesday, Jul 10, 2019 05:31:01 AM GMT-7 - Accrual Basis</t>
  </si>
  <si>
    <t>Bells Mill Elementary School PTA</t>
  </si>
  <si>
    <t>Transaction Detail by  Account</t>
  </si>
  <si>
    <t>July 2018 - June 2019</t>
  </si>
  <si>
    <t>BELLS MILL ELEMENTARY SCHOOL PTA</t>
  </si>
  <si>
    <t>2012-2013</t>
  </si>
  <si>
    <t>Budget</t>
  </si>
  <si>
    <t>2013-2014</t>
  </si>
  <si>
    <t>2014-2015</t>
  </si>
  <si>
    <t>2015-2016</t>
  </si>
  <si>
    <t>2016-2017</t>
  </si>
  <si>
    <t>2017-2018</t>
  </si>
  <si>
    <t>2018-2019</t>
  </si>
  <si>
    <t>Actual</t>
  </si>
  <si>
    <t>May 7 amended</t>
  </si>
  <si>
    <t>Approved</t>
  </si>
  <si>
    <t>Final</t>
  </si>
  <si>
    <t>May Amendment</t>
  </si>
  <si>
    <t>Actual Spend</t>
  </si>
  <si>
    <t>Proposed Budget</t>
  </si>
  <si>
    <t xml:space="preserve">Amended     11-30-17 </t>
  </si>
  <si>
    <t>Actual Spend (as of 4/30/18)</t>
  </si>
  <si>
    <t>Ordinary Income/Expense</t>
  </si>
  <si>
    <t>Income</t>
  </si>
  <si>
    <t>Directory Sponsorship</t>
  </si>
  <si>
    <t>Donations - Earmarked</t>
  </si>
  <si>
    <t>Membership Donations</t>
  </si>
  <si>
    <t>Restaurant / Ice Cream Nights</t>
  </si>
  <si>
    <t>Other Income - Amazon/Scrip</t>
  </si>
  <si>
    <t>Total Spirit Wear Sales</t>
  </si>
  <si>
    <t>Total Income</t>
  </si>
  <si>
    <t>Expense</t>
  </si>
  <si>
    <t>Academic Improvement - Other</t>
  </si>
  <si>
    <t>Teachers' Fund</t>
  </si>
  <si>
    <t>Total Academic Improvement</t>
  </si>
  <si>
    <t>Liability Insurance</t>
  </si>
  <si>
    <t>Office supplies and expense</t>
  </si>
  <si>
    <t>Sunshine Gifts</t>
  </si>
  <si>
    <t>Total Administration</t>
  </si>
  <si>
    <t>Assemblies</t>
  </si>
  <si>
    <t>Poet in Residence</t>
  </si>
  <si>
    <t>Cultural Arts - Other</t>
  </si>
  <si>
    <t>Total Cultural Arts</t>
  </si>
  <si>
    <t>Back to School Picnic</t>
  </si>
  <si>
    <t>Bells Mill Bash</t>
  </si>
  <si>
    <t>Black History Celebration</t>
  </si>
  <si>
    <t>Family Fun Night/Bingo</t>
  </si>
  <si>
    <t>Geography Bowl</t>
  </si>
  <si>
    <t>International Night</t>
  </si>
  <si>
    <t>Kindergarten Orientation</t>
  </si>
  <si>
    <t>Principal's Teas</t>
  </si>
  <si>
    <t>Talent Show</t>
  </si>
  <si>
    <t>School Events - Other</t>
  </si>
  <si>
    <t>Total School Events</t>
  </si>
  <si>
    <t>Appreciation Fund</t>
  </si>
  <si>
    <t>Staff Appreciation Week</t>
  </si>
  <si>
    <t>Staff Breakfasts</t>
  </si>
  <si>
    <t>Staff Lunches</t>
  </si>
  <si>
    <t>Total Staff Appreciation</t>
  </si>
  <si>
    <t>Fifth Grade Promotion</t>
  </si>
  <si>
    <t>Fifth Grade Patrol Picnic</t>
  </si>
  <si>
    <t>Organizers for Students</t>
  </si>
  <si>
    <t>Indoor Recess</t>
  </si>
  <si>
    <t>Outdoor Recess</t>
  </si>
  <si>
    <t>Student Affairs - Other</t>
  </si>
  <si>
    <t>Total Student Affairs</t>
  </si>
  <si>
    <t>Total Expense</t>
  </si>
  <si>
    <t>Paypal/Square Fees</t>
  </si>
  <si>
    <t>Other / Bank Fees</t>
  </si>
  <si>
    <t>Total Other Expense / Fees</t>
  </si>
  <si>
    <t>Planned Net Income</t>
  </si>
  <si>
    <t>Read-A-Thon</t>
  </si>
  <si>
    <t>Variance</t>
  </si>
  <si>
    <t>Sister School</t>
  </si>
  <si>
    <t>Sunday, Mar 08, 2020 08:12:27 AM GMT-7 - Accrual Basis</t>
  </si>
  <si>
    <t>Net Revenue</t>
  </si>
  <si>
    <t>Net Operating Revenue</t>
  </si>
  <si>
    <t>Total Expenditures</t>
  </si>
  <si>
    <t xml:space="preserve">   Total Student Affairs</t>
  </si>
  <si>
    <t xml:space="preserve">      Total Yearbook</t>
  </si>
  <si>
    <t xml:space="preserve">         Yearbook - Revenue</t>
  </si>
  <si>
    <t xml:space="preserve">      Yearbook</t>
  </si>
  <si>
    <t xml:space="preserve">      Total Student Affairs - Other</t>
  </si>
  <si>
    <t xml:space="preserve">         SA - Other - Expense</t>
  </si>
  <si>
    <t xml:space="preserve">      Student Affairs - Other</t>
  </si>
  <si>
    <t xml:space="preserve">      Organizers for Students</t>
  </si>
  <si>
    <t xml:space="preserve">      Total Fifth Grade Promotion</t>
  </si>
  <si>
    <t xml:space="preserve">         Fifth Grade - Donation</t>
  </si>
  <si>
    <t xml:space="preserve">      Fifth Grade Promotion</t>
  </si>
  <si>
    <t xml:space="preserve">      Fifth Grade Patrol Picnic</t>
  </si>
  <si>
    <t xml:space="preserve">   Student Affairs</t>
  </si>
  <si>
    <t xml:space="preserve">   Total Staff Appreciation</t>
  </si>
  <si>
    <t xml:space="preserve">      Total Staff Lunches</t>
  </si>
  <si>
    <t xml:space="preserve">         Staff Lunches - Expense</t>
  </si>
  <si>
    <t xml:space="preserve">      Staff Lunches</t>
  </si>
  <si>
    <t xml:space="preserve">      Total Staff Breakfasts</t>
  </si>
  <si>
    <t xml:space="preserve">         Staff Breakfast - Expense</t>
  </si>
  <si>
    <t xml:space="preserve">      Staff Breakfasts</t>
  </si>
  <si>
    <t xml:space="preserve">      Total Staff Appreciation Week</t>
  </si>
  <si>
    <t xml:space="preserve">         SA Week - Revenue</t>
  </si>
  <si>
    <t xml:space="preserve">         SA Week - Expense</t>
  </si>
  <si>
    <t xml:space="preserve">      Staff Appreciation Week</t>
  </si>
  <si>
    <t xml:space="preserve">      Appreciation Fund</t>
  </si>
  <si>
    <t xml:space="preserve">   Staff Appreciation</t>
  </si>
  <si>
    <t xml:space="preserve">   Total School Events</t>
  </si>
  <si>
    <t xml:space="preserve">      Science Fair</t>
  </si>
  <si>
    <t xml:space="preserve">      School Events - Other</t>
  </si>
  <si>
    <t xml:space="preserve">      Principal's Teas</t>
  </si>
  <si>
    <t xml:space="preserve">      Movie Night</t>
  </si>
  <si>
    <t xml:space="preserve">      Kindergarten Orientation</t>
  </si>
  <si>
    <t xml:space="preserve">      International Night</t>
  </si>
  <si>
    <t xml:space="preserve">      Total Ice Skating Night</t>
  </si>
  <si>
    <t xml:space="preserve">         Skate Night - Revenue</t>
  </si>
  <si>
    <t xml:space="preserve">         Skate Night - Expense</t>
  </si>
  <si>
    <t xml:space="preserve">      Ice Skating Night</t>
  </si>
  <si>
    <t xml:space="preserve">      Geography Bowl</t>
  </si>
  <si>
    <t xml:space="preserve">      Total Family Fun / Bingo Night</t>
  </si>
  <si>
    <t xml:space="preserve">         Bingo Night - Revenue</t>
  </si>
  <si>
    <t xml:space="preserve">         Bingo Night - Expense</t>
  </si>
  <si>
    <t xml:space="preserve">      Family Fun / Bingo Night</t>
  </si>
  <si>
    <t xml:space="preserve">      Total Club Bells Mill</t>
  </si>
  <si>
    <t xml:space="preserve">         CBM - Other Revenues</t>
  </si>
  <si>
    <t xml:space="preserve">         CBM - Membership Revenues</t>
  </si>
  <si>
    <t xml:space="preserve">         CBM - Expenses</t>
  </si>
  <si>
    <t xml:space="preserve">      Club Bells Mill</t>
  </si>
  <si>
    <t xml:space="preserve">      Total Bells Mill Bash</t>
  </si>
  <si>
    <t xml:space="preserve">         Bash - Revenue</t>
  </si>
  <si>
    <t xml:space="preserve">         Bash - Expense</t>
  </si>
  <si>
    <t xml:space="preserve">      Bells Mill Bash</t>
  </si>
  <si>
    <t xml:space="preserve">      Total Back to School Picnic</t>
  </si>
  <si>
    <t xml:space="preserve">         BTS Picnic - Revenue</t>
  </si>
  <si>
    <t xml:space="preserve">         BTS Picnic - Expense</t>
  </si>
  <si>
    <t xml:space="preserve">      Back to School Picnic</t>
  </si>
  <si>
    <t xml:space="preserve">   School Events</t>
  </si>
  <si>
    <t xml:space="preserve">   Total Other Expense</t>
  </si>
  <si>
    <t xml:space="preserve">      Square Fees</t>
  </si>
  <si>
    <t xml:space="preserve">      Paypal Fees</t>
  </si>
  <si>
    <t xml:space="preserve">      Other Expense - Other</t>
  </si>
  <si>
    <t xml:space="preserve">      Bank Fees</t>
  </si>
  <si>
    <t xml:space="preserve">   Other Expense</t>
  </si>
  <si>
    <t xml:space="preserve">   Total Cultural Arts</t>
  </si>
  <si>
    <t xml:space="preserve">      Poet In Residence</t>
  </si>
  <si>
    <t xml:space="preserve">      Cultural Arts - Other Expense</t>
  </si>
  <si>
    <t xml:space="preserve">      Assemblies</t>
  </si>
  <si>
    <t xml:space="preserve">   Cultural Arts</t>
  </si>
  <si>
    <t xml:space="preserve">   Total Administration</t>
  </si>
  <si>
    <t xml:space="preserve">      Website Fees</t>
  </si>
  <si>
    <t xml:space="preserve">      Office Supplies &amp; Expense</t>
  </si>
  <si>
    <t xml:space="preserve">      Liability Insurance</t>
  </si>
  <si>
    <t xml:space="preserve">   Administration</t>
  </si>
  <si>
    <t xml:space="preserve">   Total Academic Improvement</t>
  </si>
  <si>
    <t xml:space="preserve">      Teacher Fund</t>
  </si>
  <si>
    <t xml:space="preserve">      Academic Improvement - Other</t>
  </si>
  <si>
    <t xml:space="preserve">   Academic Improvement</t>
  </si>
  <si>
    <t>Expenditures</t>
  </si>
  <si>
    <t>Gross Profit</t>
  </si>
  <si>
    <t>Total Revenue</t>
  </si>
  <si>
    <t xml:space="preserve">   Total Restaurant / Ice Cream Events</t>
  </si>
  <si>
    <t xml:space="preserve">      Restaurant Nights - Vouchers</t>
  </si>
  <si>
    <t xml:space="preserve">      Restaurant / Ice Cream - Rev</t>
  </si>
  <si>
    <t xml:space="preserve">      Restaurant / Ice C - Other Exp</t>
  </si>
  <si>
    <t xml:space="preserve">   Restaurant / Ice Cream Events</t>
  </si>
  <si>
    <t xml:space="preserve">   Total Other Income</t>
  </si>
  <si>
    <t xml:space="preserve">      Other Income - Other</t>
  </si>
  <si>
    <t xml:space="preserve">   Other Income</t>
  </si>
  <si>
    <t xml:space="preserve">   Total Membership</t>
  </si>
  <si>
    <t xml:space="preserve">      Membership - Revenue</t>
  </si>
  <si>
    <t xml:space="preserve">      Membership - Payments to PTA</t>
  </si>
  <si>
    <t xml:space="preserve">   Membership</t>
  </si>
  <si>
    <t xml:space="preserve">   Total Donations</t>
  </si>
  <si>
    <t xml:space="preserve">      Donations - Vendors</t>
  </si>
  <si>
    <t xml:space="preserve">      Donations - Members</t>
  </si>
  <si>
    <t xml:space="preserve">   Donations</t>
  </si>
  <si>
    <t xml:space="preserve">   Total Directory</t>
  </si>
  <si>
    <t xml:space="preserve">      Directory - Sponsorship</t>
  </si>
  <si>
    <t xml:space="preserve">   Directory</t>
  </si>
  <si>
    <t xml:space="preserve">   Total California Tortilla Cards</t>
  </si>
  <si>
    <t xml:space="preserve">      Cal Tort cards - Revenue</t>
  </si>
  <si>
    <t xml:space="preserve">      Cal Tort cards - COGS</t>
  </si>
  <si>
    <t xml:space="preserve">   California Tortilla Cards</t>
  </si>
  <si>
    <t xml:space="preserve">   Total Book Fair</t>
  </si>
  <si>
    <t xml:space="preserve">      Book Fair - Revenue</t>
  </si>
  <si>
    <t xml:space="preserve">      Book Fair - Other Expense</t>
  </si>
  <si>
    <t xml:space="preserve">      Book Fair - COGS</t>
  </si>
  <si>
    <t xml:space="preserve">   Book Fair</t>
  </si>
  <si>
    <t>Revenue</t>
  </si>
  <si>
    <t>Total</t>
  </si>
  <si>
    <t>July 2017 - June 2018</t>
  </si>
  <si>
    <t>Statement of Activity</t>
  </si>
  <si>
    <t>Sunday, Mar 08, 2020 08:13:08 AM GMT-7 - Accrual Basis</t>
  </si>
  <si>
    <t xml:space="preserve">      Total Recess</t>
  </si>
  <si>
    <t xml:space="preserve">         Recess - Outdoor</t>
  </si>
  <si>
    <t xml:space="preserve">         Recess - Indoor</t>
  </si>
  <si>
    <t xml:space="preserve">      Recess</t>
  </si>
  <si>
    <t xml:space="preserve">      Odyssey of the Mind</t>
  </si>
  <si>
    <t xml:space="preserve">         Staff Lunches - Revenue</t>
  </si>
  <si>
    <t xml:space="preserve">   Total Spirit Wear</t>
  </si>
  <si>
    <t xml:space="preserve">      Spirit Wear - Revenue</t>
  </si>
  <si>
    <t xml:space="preserve">      Spirit Wear - COGS</t>
  </si>
  <si>
    <t xml:space="preserve">   Spirit Wear</t>
  </si>
  <si>
    <t xml:space="preserve">      Directory - Sales</t>
  </si>
  <si>
    <t>Sunday, Mar 08, 2020 08:13:43 AM GMT-7 - Accrual Basis</t>
  </si>
  <si>
    <t xml:space="preserve">      Playground Social</t>
  </si>
  <si>
    <t xml:space="preserve">      Total Math and Literacy Nights</t>
  </si>
  <si>
    <t xml:space="preserve">         Math/Literacy Nights - Revenue</t>
  </si>
  <si>
    <t xml:space="preserve">         Math/Literacy Nights - Expense</t>
  </si>
  <si>
    <t xml:space="preserve">      Math and Literacy Nights</t>
  </si>
  <si>
    <t xml:space="preserve">      Sunshine Gifts</t>
  </si>
  <si>
    <t xml:space="preserve">      Speakers for Meetings</t>
  </si>
  <si>
    <t xml:space="preserve">      Admin - Other Expense</t>
  </si>
  <si>
    <t xml:space="preserve">   Total Read-A-Thon</t>
  </si>
  <si>
    <t xml:space="preserve">      Expense</t>
  </si>
  <si>
    <t xml:space="preserve">   Read-A-Thon</t>
  </si>
  <si>
    <t>July 2019 - February 2020</t>
  </si>
  <si>
    <t>Meeting Expenses</t>
  </si>
  <si>
    <t>Welcome Events</t>
  </si>
  <si>
    <t>Year book</t>
  </si>
  <si>
    <t>Website Fees/ Licenses</t>
  </si>
  <si>
    <t>Magic &amp; Muffins</t>
  </si>
  <si>
    <t>Asian American Night</t>
  </si>
  <si>
    <t>Student Wellness / SEL</t>
  </si>
  <si>
    <t>-</t>
  </si>
  <si>
    <t>STEM Night &amp; Science Fair</t>
  </si>
  <si>
    <t>Movie Night</t>
  </si>
  <si>
    <t>Other Expense / Fees</t>
  </si>
  <si>
    <t xml:space="preserve">Book Fair </t>
  </si>
  <si>
    <t>2023-2024
(Approved)</t>
  </si>
  <si>
    <t xml:space="preserve">2024-2025
</t>
  </si>
  <si>
    <t>2024 - 2025 Budget</t>
  </si>
  <si>
    <t>Reflections</t>
  </si>
  <si>
    <t>2023-2024
(as of April 30)</t>
  </si>
  <si>
    <t>FINAL May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</si>
</sst>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_(* #,##0_);_(* \(#,##0\);_(* &quot;-&quot;??_);_(@_)"/>
    <numFmt numFmtId="167" formatCode="&quot;$&quot;#,##0"/>
  </numFmts>
  <fonts count="23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quotePrefix="1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6" fontId="11" fillId="0" borderId="0" xfId="4" applyNumberFormat="1" applyFont="1" applyFill="1"/>
    <xf numFmtId="166" fontId="11" fillId="2" borderId="0" xfId="4" applyNumberFormat="1" applyFont="1" applyFill="1"/>
    <xf numFmtId="37" fontId="11" fillId="0" borderId="4" xfId="4" applyNumberFormat="1" applyFont="1" applyFill="1" applyBorder="1"/>
    <xf numFmtId="37" fontId="11" fillId="0" borderId="5" xfId="4" applyNumberFormat="1" applyFont="1" applyFill="1" applyBorder="1"/>
    <xf numFmtId="37" fontId="11" fillId="2" borderId="4" xfId="4" applyNumberFormat="1" applyFont="1" applyFill="1" applyBorder="1"/>
    <xf numFmtId="44" fontId="17" fillId="0" borderId="4" xfId="4" applyNumberFormat="1" applyFont="1" applyFill="1" applyBorder="1"/>
    <xf numFmtId="44" fontId="12" fillId="0" borderId="0" xfId="2" applyFont="1" applyBorder="1"/>
    <xf numFmtId="44" fontId="11" fillId="0" borderId="4" xfId="2" applyFont="1" applyFill="1" applyBorder="1"/>
    <xf numFmtId="44" fontId="11" fillId="0" borderId="0" xfId="2" applyFont="1" applyFill="1" applyBorder="1"/>
    <xf numFmtId="44" fontId="15" fillId="0" borderId="0" xfId="2" applyFont="1" applyBorder="1"/>
    <xf numFmtId="44" fontId="11" fillId="0" borderId="4" xfId="2" applyFont="1" applyBorder="1"/>
    <xf numFmtId="44" fontId="11" fillId="0" borderId="5" xfId="2" applyFont="1" applyFill="1" applyBorder="1"/>
    <xf numFmtId="44" fontId="11" fillId="3" borderId="4" xfId="2" applyFont="1" applyFill="1" applyBorder="1"/>
    <xf numFmtId="44" fontId="11" fillId="3" borderId="0" xfId="2" applyFont="1" applyFill="1" applyBorder="1"/>
    <xf numFmtId="44" fontId="13" fillId="3" borderId="4" xfId="2" applyFont="1" applyFill="1" applyBorder="1"/>
    <xf numFmtId="44" fontId="11" fillId="0" borderId="5" xfId="2" applyFont="1" applyBorder="1"/>
    <xf numFmtId="44" fontId="11" fillId="2" borderId="4" xfId="2" applyFont="1" applyFill="1" applyBorder="1"/>
    <xf numFmtId="44" fontId="11" fillId="2" borderId="6" xfId="2" applyFont="1" applyFill="1" applyBorder="1"/>
    <xf numFmtId="44" fontId="15" fillId="2" borderId="6" xfId="2" applyFont="1" applyFill="1" applyBorder="1"/>
    <xf numFmtId="44" fontId="17" fillId="0" borderId="4" xfId="2" applyFont="1" applyFill="1" applyBorder="1"/>
    <xf numFmtId="44" fontId="17" fillId="0" borderId="0" xfId="2" applyFont="1" applyFill="1" applyBorder="1"/>
    <xf numFmtId="44" fontId="17" fillId="0" borderId="4" xfId="2" applyFont="1" applyBorder="1"/>
    <xf numFmtId="44" fontId="13" fillId="0" borderId="7" xfId="2" applyFont="1" applyFill="1" applyBorder="1" applyAlignment="1">
      <alignment horizontal="center"/>
    </xf>
    <xf numFmtId="44" fontId="13" fillId="0" borderId="0" xfId="2" applyFont="1" applyFill="1" applyBorder="1" applyAlignment="1">
      <alignment horizontal="center"/>
    </xf>
    <xf numFmtId="44" fontId="13" fillId="0" borderId="7" xfId="2" applyFont="1" applyBorder="1" applyAlignment="1">
      <alignment horizontal="center" wrapText="1"/>
    </xf>
    <xf numFmtId="44" fontId="13" fillId="0" borderId="4" xfId="2" applyFont="1" applyFill="1" applyBorder="1" applyAlignment="1">
      <alignment horizontal="center" wrapText="1"/>
    </xf>
    <xf numFmtId="44" fontId="13" fillId="0" borderId="0" xfId="2" applyFont="1" applyFill="1" applyBorder="1" applyAlignment="1">
      <alignment horizontal="center" wrapText="1"/>
    </xf>
    <xf numFmtId="37" fontId="13" fillId="2" borderId="4" xfId="4" applyNumberFormat="1" applyFont="1" applyFill="1" applyBorder="1"/>
    <xf numFmtId="44" fontId="13" fillId="3" borderId="0" xfId="2" applyFont="1" applyFill="1" applyBorder="1"/>
    <xf numFmtId="44" fontId="13" fillId="3" borderId="6" xfId="2" applyFont="1" applyFill="1" applyBorder="1"/>
    <xf numFmtId="44" fontId="13" fillId="2" borderId="6" xfId="2" applyFont="1" applyFill="1" applyBorder="1"/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1" fillId="0" borderId="0" xfId="9" applyFont="1"/>
    <xf numFmtId="49" fontId="12" fillId="0" borderId="0" xfId="9" applyNumberFormat="1" applyFont="1"/>
    <xf numFmtId="49" fontId="12" fillId="0" borderId="0" xfId="9" applyNumberFormat="1" applyFont="1" applyAlignment="1">
      <alignment horizontal="center"/>
    </xf>
    <xf numFmtId="0" fontId="13" fillId="0" borderId="0" xfId="9" applyFont="1" applyAlignment="1">
      <alignment horizontal="center"/>
    </xf>
    <xf numFmtId="49" fontId="11" fillId="0" borderId="0" xfId="9" applyNumberFormat="1" applyFont="1" applyAlignment="1">
      <alignment horizontal="centerContinuous"/>
    </xf>
    <xf numFmtId="0" fontId="13" fillId="0" borderId="0" xfId="9" applyFont="1" applyAlignment="1">
      <alignment horizontal="center" wrapText="1"/>
    </xf>
    <xf numFmtId="0" fontId="13" fillId="0" borderId="7" xfId="9" applyFont="1" applyBorder="1" applyAlignment="1">
      <alignment horizontal="center" wrapText="1"/>
    </xf>
    <xf numFmtId="166" fontId="13" fillId="0" borderId="0" xfId="4" applyNumberFormat="1" applyFont="1" applyFill="1" applyBorder="1" applyAlignment="1">
      <alignment horizontal="center"/>
    </xf>
    <xf numFmtId="49" fontId="14" fillId="0" borderId="0" xfId="9" quotePrefix="1" applyNumberFormat="1" applyFont="1" applyAlignment="1">
      <alignment horizontal="left"/>
    </xf>
    <xf numFmtId="49" fontId="12" fillId="0" borderId="0" xfId="9" applyNumberFormat="1" applyFont="1" applyAlignment="1">
      <alignment horizontal="center" wrapText="1"/>
    </xf>
    <xf numFmtId="49" fontId="11" fillId="0" borderId="0" xfId="9" applyNumberFormat="1" applyFont="1" applyAlignment="1">
      <alignment horizontal="center"/>
    </xf>
    <xf numFmtId="0" fontId="11" fillId="0" borderId="0" xfId="9" applyFont="1" applyAlignment="1">
      <alignment horizontal="center"/>
    </xf>
    <xf numFmtId="0" fontId="13" fillId="0" borderId="4" xfId="9" applyFont="1" applyBorder="1" applyAlignment="1">
      <alignment horizontal="center" wrapText="1"/>
    </xf>
    <xf numFmtId="166" fontId="13" fillId="0" borderId="4" xfId="4" applyNumberFormat="1" applyFont="1" applyFill="1" applyBorder="1" applyAlignment="1">
      <alignment horizontal="center" wrapText="1"/>
    </xf>
    <xf numFmtId="166" fontId="13" fillId="0" borderId="0" xfId="4" applyNumberFormat="1" applyFont="1" applyFill="1" applyBorder="1" applyAlignment="1">
      <alignment horizontal="center" wrapText="1"/>
    </xf>
    <xf numFmtId="37" fontId="15" fillId="0" borderId="0" xfId="9" applyNumberFormat="1" applyFont="1"/>
    <xf numFmtId="49" fontId="15" fillId="0" borderId="0" xfId="9" applyNumberFormat="1" applyFont="1"/>
    <xf numFmtId="0" fontId="11" fillId="0" borderId="4" xfId="9" applyFont="1" applyBorder="1"/>
    <xf numFmtId="166" fontId="11" fillId="0" borderId="4" xfId="4" applyNumberFormat="1" applyFont="1" applyFill="1" applyBorder="1"/>
    <xf numFmtId="166" fontId="11" fillId="0" borderId="0" xfId="4" applyNumberFormat="1" applyFont="1" applyFill="1" applyBorder="1"/>
    <xf numFmtId="41" fontId="15" fillId="0" borderId="0" xfId="9" applyNumberFormat="1" applyFont="1"/>
    <xf numFmtId="41" fontId="11" fillId="0" borderId="0" xfId="10" applyNumberFormat="1" applyFont="1" applyFill="1"/>
    <xf numFmtId="41" fontId="11" fillId="0" borderId="0" xfId="9" applyNumberFormat="1" applyFont="1"/>
    <xf numFmtId="1" fontId="15" fillId="0" borderId="0" xfId="9" applyNumberFormat="1" applyFont="1"/>
    <xf numFmtId="49" fontId="12" fillId="0" borderId="0" xfId="9" quotePrefix="1" applyNumberFormat="1" applyFont="1" applyAlignment="1">
      <alignment horizontal="left"/>
    </xf>
    <xf numFmtId="41" fontId="16" fillId="0" borderId="0" xfId="9" applyNumberFormat="1" applyFont="1"/>
    <xf numFmtId="1" fontId="11" fillId="0" borderId="0" xfId="9" applyNumberFormat="1" applyFont="1"/>
    <xf numFmtId="37" fontId="15" fillId="0" borderId="8" xfId="9" applyNumberFormat="1" applyFont="1" applyBorder="1"/>
    <xf numFmtId="37" fontId="15" fillId="0" borderId="3" xfId="9" applyNumberFormat="1" applyFont="1" applyBorder="1"/>
    <xf numFmtId="41" fontId="15" fillId="0" borderId="3" xfId="9" applyNumberFormat="1" applyFont="1" applyBorder="1"/>
    <xf numFmtId="49" fontId="12" fillId="2" borderId="0" xfId="9" applyNumberFormat="1" applyFont="1" applyFill="1"/>
    <xf numFmtId="37" fontId="12" fillId="0" borderId="0" xfId="9" applyNumberFormat="1" applyFont="1"/>
    <xf numFmtId="37" fontId="12" fillId="2" borderId="0" xfId="9" applyNumberFormat="1" applyFont="1" applyFill="1"/>
    <xf numFmtId="41" fontId="12" fillId="0" borderId="0" xfId="9" applyNumberFormat="1" applyFont="1"/>
    <xf numFmtId="41" fontId="12" fillId="2" borderId="0" xfId="9" applyNumberFormat="1" applyFont="1" applyFill="1"/>
    <xf numFmtId="37" fontId="13" fillId="0" borderId="0" xfId="9" applyNumberFormat="1" applyFont="1"/>
    <xf numFmtId="0" fontId="13" fillId="0" borderId="0" xfId="9" applyFont="1"/>
    <xf numFmtId="41" fontId="13" fillId="0" borderId="0" xfId="9" applyNumberFormat="1" applyFont="1"/>
    <xf numFmtId="37" fontId="11" fillId="0" borderId="0" xfId="9" applyNumberFormat="1" applyFont="1"/>
    <xf numFmtId="37" fontId="15" fillId="2" borderId="0" xfId="9" applyNumberFormat="1" applyFont="1" applyFill="1"/>
    <xf numFmtId="41" fontId="15" fillId="2" borderId="0" xfId="9" applyNumberFormat="1" applyFont="1" applyFill="1"/>
    <xf numFmtId="41" fontId="16" fillId="2" borderId="0" xfId="9" applyNumberFormat="1" applyFont="1" applyFill="1"/>
    <xf numFmtId="49" fontId="12" fillId="0" borderId="0" xfId="9" applyNumberFormat="1" applyFont="1" applyAlignment="1">
      <alignment wrapText="1"/>
    </xf>
    <xf numFmtId="41" fontId="11" fillId="0" borderId="3" xfId="9" applyNumberFormat="1" applyFont="1" applyBorder="1"/>
    <xf numFmtId="41" fontId="16" fillId="0" borderId="3" xfId="9" applyNumberFormat="1" applyFont="1" applyBorder="1"/>
    <xf numFmtId="1" fontId="11" fillId="0" borderId="3" xfId="9" applyNumberFormat="1" applyFont="1" applyBorder="1"/>
    <xf numFmtId="1" fontId="11" fillId="2" borderId="0" xfId="9" applyNumberFormat="1" applyFont="1" applyFill="1"/>
    <xf numFmtId="37" fontId="15" fillId="0" borderId="1" xfId="9" applyNumberFormat="1" applyFont="1" applyBorder="1"/>
    <xf numFmtId="1" fontId="15" fillId="0" borderId="3" xfId="9" applyNumberFormat="1" applyFont="1" applyBorder="1"/>
    <xf numFmtId="41" fontId="5" fillId="0" borderId="3" xfId="10" applyNumberFormat="1" applyFont="1" applyBorder="1" applyAlignment="1">
      <alignment horizontal="right" wrapText="1"/>
    </xf>
    <xf numFmtId="41" fontId="5" fillId="2" borderId="0" xfId="10" applyNumberFormat="1" applyFont="1" applyFill="1" applyBorder="1" applyAlignment="1">
      <alignment horizontal="right" wrapText="1"/>
    </xf>
    <xf numFmtId="37" fontId="15" fillId="0" borderId="9" xfId="9" applyNumberFormat="1" applyFont="1" applyBorder="1"/>
    <xf numFmtId="1" fontId="11" fillId="2" borderId="8" xfId="9" applyNumberFormat="1" applyFont="1" applyFill="1" applyBorder="1"/>
    <xf numFmtId="41" fontId="11" fillId="0" borderId="8" xfId="9" applyNumberFormat="1" applyFont="1" applyBorder="1"/>
    <xf numFmtId="41" fontId="11" fillId="2" borderId="8" xfId="9" applyNumberFormat="1" applyFont="1" applyFill="1" applyBorder="1"/>
    <xf numFmtId="41" fontId="16" fillId="2" borderId="8" xfId="9" applyNumberFormat="1" applyFont="1" applyFill="1" applyBorder="1"/>
    <xf numFmtId="166" fontId="11" fillId="0" borderId="8" xfId="10" applyNumberFormat="1" applyFont="1" applyFill="1" applyBorder="1"/>
    <xf numFmtId="41" fontId="11" fillId="0" borderId="8" xfId="10" applyNumberFormat="1" applyFont="1" applyFill="1" applyBorder="1"/>
    <xf numFmtId="166" fontId="5" fillId="0" borderId="0" xfId="10" applyNumberFormat="1" applyFont="1" applyFill="1"/>
    <xf numFmtId="41" fontId="5" fillId="0" borderId="0" xfId="10" applyNumberFormat="1" applyFont="1" applyFill="1"/>
    <xf numFmtId="37" fontId="15" fillId="2" borderId="8" xfId="9" applyNumberFormat="1" applyFont="1" applyFill="1" applyBorder="1"/>
    <xf numFmtId="41" fontId="15" fillId="0" borderId="8" xfId="9" applyNumberFormat="1" applyFont="1" applyBorder="1"/>
    <xf numFmtId="41" fontId="15" fillId="2" borderId="8" xfId="9" applyNumberFormat="1" applyFont="1" applyFill="1" applyBorder="1"/>
    <xf numFmtId="0" fontId="12" fillId="0" borderId="0" xfId="9" applyFont="1"/>
    <xf numFmtId="49" fontId="12" fillId="0" borderId="3" xfId="9" applyNumberFormat="1" applyFont="1" applyBorder="1"/>
    <xf numFmtId="49" fontId="12" fillId="2" borderId="3" xfId="9" applyNumberFormat="1" applyFont="1" applyFill="1" applyBorder="1"/>
    <xf numFmtId="49" fontId="15" fillId="0" borderId="3" xfId="9" applyNumberFormat="1" applyFont="1" applyBorder="1"/>
    <xf numFmtId="41" fontId="15" fillId="2" borderId="3" xfId="9" applyNumberFormat="1" applyFont="1" applyFill="1" applyBorder="1"/>
    <xf numFmtId="37" fontId="15" fillId="2" borderId="5" xfId="4" applyNumberFormat="1" applyFont="1" applyFill="1" applyBorder="1"/>
    <xf numFmtId="44" fontId="15" fillId="2" borderId="3" xfId="2" applyFont="1" applyFill="1" applyBorder="1"/>
    <xf numFmtId="44" fontId="15" fillId="2" borderId="5" xfId="2" applyFont="1" applyFill="1" applyBorder="1"/>
    <xf numFmtId="44" fontId="15" fillId="0" borderId="3" xfId="2" applyFont="1" applyBorder="1"/>
    <xf numFmtId="0" fontId="11" fillId="0" borderId="3" xfId="9" applyFont="1" applyBorder="1"/>
    <xf numFmtId="37" fontId="15" fillId="0" borderId="0" xfId="9" applyNumberFormat="1" applyFont="1" applyAlignment="1">
      <alignment horizontal="center"/>
    </xf>
    <xf numFmtId="167" fontId="15" fillId="0" borderId="0" xfId="9" applyNumberFormat="1" applyFont="1" applyAlignment="1">
      <alignment horizontal="center"/>
    </xf>
    <xf numFmtId="167" fontId="13" fillId="0" borderId="0" xfId="9" applyNumberFormat="1" applyFont="1"/>
    <xf numFmtId="167" fontId="13" fillId="0" borderId="0" xfId="9" quotePrefix="1" applyNumberFormat="1" applyFont="1" applyAlignment="1">
      <alignment horizontal="right"/>
    </xf>
    <xf numFmtId="167" fontId="12" fillId="0" borderId="0" xfId="9" applyNumberFormat="1" applyFont="1"/>
    <xf numFmtId="44" fontId="12" fillId="0" borderId="0" xfId="9" applyNumberFormat="1" applyFont="1"/>
    <xf numFmtId="44" fontId="13" fillId="0" borderId="0" xfId="9" applyNumberFormat="1" applyFont="1"/>
    <xf numFmtId="44" fontId="11" fillId="0" borderId="0" xfId="9" applyNumberFormat="1" applyFont="1"/>
    <xf numFmtId="44" fontId="17" fillId="0" borderId="0" xfId="9" applyNumberFormat="1" applyFont="1"/>
    <xf numFmtId="49" fontId="13" fillId="0" borderId="0" xfId="9" applyNumberFormat="1" applyFont="1"/>
    <xf numFmtId="49" fontId="11" fillId="0" borderId="0" xfId="9" applyNumberFormat="1" applyFont="1"/>
    <xf numFmtId="43" fontId="11" fillId="0" borderId="0" xfId="10" applyFont="1" applyFill="1" applyBorder="1"/>
    <xf numFmtId="37" fontId="11" fillId="0" borderId="3" xfId="9" applyNumberFormat="1" applyFont="1" applyBorder="1"/>
    <xf numFmtId="44" fontId="11" fillId="4" borderId="10" xfId="2" applyFont="1" applyFill="1" applyBorder="1"/>
    <xf numFmtId="44" fontId="13" fillId="4" borderId="11" xfId="2" applyFont="1" applyFill="1" applyBorder="1"/>
    <xf numFmtId="44" fontId="11" fillId="4" borderId="11" xfId="2" applyFont="1" applyFill="1" applyBorder="1"/>
    <xf numFmtId="44" fontId="15" fillId="4" borderId="11" xfId="2" applyFont="1" applyFill="1" applyBorder="1"/>
    <xf numFmtId="44" fontId="13" fillId="5" borderId="12" xfId="2" applyFont="1" applyFill="1" applyBorder="1" applyAlignment="1">
      <alignment horizontal="center" wrapText="1"/>
    </xf>
    <xf numFmtId="44" fontId="13" fillId="5" borderId="10" xfId="2" applyFont="1" applyFill="1" applyBorder="1" applyAlignment="1">
      <alignment horizontal="center" wrapText="1"/>
    </xf>
    <xf numFmtId="44" fontId="11" fillId="5" borderId="10" xfId="2" applyFont="1" applyFill="1" applyBorder="1"/>
    <xf numFmtId="44" fontId="11" fillId="5" borderId="13" xfId="2" applyFont="1" applyFill="1" applyBorder="1"/>
    <xf numFmtId="44" fontId="17" fillId="5" borderId="13" xfId="2" applyFont="1" applyFill="1" applyBorder="1"/>
    <xf numFmtId="49" fontId="9" fillId="0" borderId="0" xfId="9" applyNumberFormat="1" applyFont="1" applyAlignment="1">
      <alignment horizontal="center"/>
    </xf>
    <xf numFmtId="0" fontId="19" fillId="0" borderId="0" xfId="9" applyFont="1"/>
    <xf numFmtId="0" fontId="19" fillId="0" borderId="0" xfId="9" applyFont="1" applyAlignment="1">
      <alignment horizontal="center"/>
    </xf>
    <xf numFmtId="0" fontId="1" fillId="0" borderId="0" xfId="9" applyFont="1"/>
    <xf numFmtId="166" fontId="1" fillId="0" borderId="0" xfId="4" applyNumberFormat="1" applyFont="1" applyFill="1" applyBorder="1"/>
    <xf numFmtId="0" fontId="19" fillId="0" borderId="1" xfId="9" applyFont="1" applyBorder="1"/>
    <xf numFmtId="49" fontId="19" fillId="0" borderId="0" xfId="9" applyNumberFormat="1" applyFont="1" applyAlignment="1">
      <alignment horizontal="centerContinuous"/>
    </xf>
    <xf numFmtId="0" fontId="20" fillId="0" borderId="0" xfId="9" applyFont="1" applyAlignment="1">
      <alignment horizontal="center" wrapText="1"/>
    </xf>
    <xf numFmtId="0" fontId="20" fillId="0" borderId="0" xfId="9" applyFont="1" applyAlignment="1">
      <alignment horizontal="center"/>
    </xf>
    <xf numFmtId="0" fontId="20" fillId="0" borderId="7" xfId="9" applyFont="1" applyBorder="1" applyAlignment="1">
      <alignment horizontal="center" wrapText="1"/>
    </xf>
    <xf numFmtId="49" fontId="19" fillId="0" borderId="0" xfId="9" applyNumberFormat="1" applyFont="1" applyAlignment="1">
      <alignment horizontal="center"/>
    </xf>
    <xf numFmtId="0" fontId="20" fillId="0" borderId="4" xfId="9" applyFont="1" applyBorder="1" applyAlignment="1">
      <alignment horizontal="center" wrapText="1"/>
    </xf>
    <xf numFmtId="0" fontId="1" fillId="0" borderId="4" xfId="9" applyFont="1" applyBorder="1"/>
    <xf numFmtId="41" fontId="19" fillId="0" borderId="0" xfId="9" applyNumberFormat="1" applyFont="1"/>
    <xf numFmtId="37" fontId="21" fillId="0" borderId="0" xfId="9" applyNumberFormat="1" applyFont="1"/>
    <xf numFmtId="0" fontId="21" fillId="0" borderId="0" xfId="9" applyFont="1"/>
    <xf numFmtId="41" fontId="21" fillId="0" borderId="0" xfId="9" applyNumberFormat="1" applyFont="1"/>
    <xf numFmtId="37" fontId="19" fillId="0" borderId="0" xfId="9" applyNumberFormat="1" applyFont="1"/>
    <xf numFmtId="43" fontId="19" fillId="0" borderId="0" xfId="10" applyFont="1" applyFill="1" applyBorder="1"/>
    <xf numFmtId="166" fontId="22" fillId="0" borderId="0" xfId="10" applyNumberFormat="1" applyFont="1" applyFill="1"/>
    <xf numFmtId="41" fontId="22" fillId="0" borderId="0" xfId="10" applyNumberFormat="1" applyFont="1" applyFill="1"/>
    <xf numFmtId="0" fontId="19" fillId="0" borderId="3" xfId="9" applyFont="1" applyBorder="1"/>
    <xf numFmtId="41" fontId="19" fillId="0" borderId="3" xfId="9" applyNumberFormat="1" applyFont="1" applyBorder="1"/>
    <xf numFmtId="44" fontId="19" fillId="0" borderId="0" xfId="9" applyNumberFormat="1" applyFont="1"/>
    <xf numFmtId="166" fontId="1" fillId="0" borderId="0" xfId="4" applyNumberFormat="1" applyFont="1" applyFill="1"/>
    <xf numFmtId="44" fontId="11" fillId="0" borderId="4" xfId="2" applyFont="1" applyBorder="1" applyAlignment="1">
      <alignment horizontal="center"/>
    </xf>
    <xf numFmtId="44" fontId="11" fillId="0" borderId="5" xfId="2" applyFont="1" applyBorder="1" applyAlignment="1">
      <alignment horizontal="center"/>
    </xf>
    <xf numFmtId="44" fontId="11" fillId="0" borderId="4" xfId="2" applyFont="1" applyFill="1" applyBorder="1" applyAlignment="1">
      <alignment horizontal="center"/>
    </xf>
    <xf numFmtId="44" fontId="11" fillId="0" borderId="4" xfId="2" applyFont="1" applyFill="1" applyBorder="1" applyAlignment="1"/>
    <xf numFmtId="49" fontId="13" fillId="0" borderId="0" xfId="9" applyNumberFormat="1" applyFont="1" applyAlignment="1">
      <alignment horizontal="left"/>
    </xf>
    <xf numFmtId="49" fontId="8" fillId="0" borderId="0" xfId="9" applyNumberFormat="1" applyFont="1" applyAlignment="1">
      <alignment horizontal="center"/>
    </xf>
    <xf numFmtId="49" fontId="10" fillId="0" borderId="0" xfId="9" applyNumberFormat="1" applyFont="1" applyAlignment="1">
      <alignment horizontal="center"/>
    </xf>
    <xf numFmtId="49" fontId="12" fillId="0" borderId="0" xfId="9" applyNumberFormat="1" applyFont="1" applyAlignment="1">
      <alignment horizontal="left"/>
    </xf>
    <xf numFmtId="49" fontId="13" fillId="0" borderId="0" xfId="9" applyNumberFormat="1" applyFont="1" applyAlignment="1">
      <alignment horizontal="left"/>
    </xf>
    <xf numFmtId="49" fontId="9" fillId="0" borderId="0" xfId="9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2">
    <cellStyle name="Comma" xfId="4" xr:uid="{00000000-0005-0000-0000-000004000000}"/>
    <cellStyle name="Comma [0]" xfId="5" xr:uid="{00000000-0005-0000-0000-000005000000}"/>
    <cellStyle name="Comma 2" xfId="7" xr:uid="{00000000-0005-0000-0000-000007000000}"/>
    <cellStyle name="Comma 2 2" xfId="10" xr:uid="{00000000-0005-0000-0000-00000A000000}"/>
    <cellStyle name="Currency" xfId="2" xr:uid="{00000000-0005-0000-0000-000002000000}"/>
    <cellStyle name="Currency [0]" xfId="3" xr:uid="{00000000-0005-0000-0000-000003000000}"/>
    <cellStyle name="Currency 2" xfId="8" xr:uid="{00000000-0005-0000-0000-000008000000}"/>
    <cellStyle name="Currency 2 2" xfId="11" xr:uid="{00000000-0005-0000-0000-00000B000000}"/>
    <cellStyle name="Normal" xfId="0" builtinId="0"/>
    <cellStyle name="Normal 2" xfId="6" xr:uid="{00000000-0005-0000-0000-000006000000}"/>
    <cellStyle name="Normal 2 2" xfId="9" xr:uid="{00000000-0005-0000-0000-000009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80"/>
  <sheetViews>
    <sheetView tabSelected="1" topLeftCell="B40" zoomScale="130" zoomScaleNormal="130" zoomScaleSheetLayoutView="100" workbookViewId="0">
      <selection activeCell="BW5" sqref="BW5"/>
    </sheetView>
  </sheetViews>
  <sheetFormatPr defaultColWidth="8.81640625" defaultRowHeight="14" x14ac:dyDescent="0.3"/>
  <cols>
    <col min="1" max="1" width="3" style="103" hidden="1" customWidth="1"/>
    <col min="2" max="5" width="3" style="103" customWidth="1"/>
    <col min="6" max="6" width="21.26953125" style="103" customWidth="1"/>
    <col min="7" max="7" width="12.7265625" style="136" hidden="1" customWidth="1"/>
    <col min="8" max="8" width="2.26953125" style="136" hidden="1" customWidth="1"/>
    <col min="9" max="9" width="12.7265625" style="136" hidden="1" customWidth="1"/>
    <col min="10" max="11" width="9.7265625" style="136" hidden="1" customWidth="1"/>
    <col min="12" max="19" width="8.81640625" style="136" hidden="1" customWidth="1"/>
    <col min="20" max="21" width="2.7265625" style="136" hidden="1" customWidth="1"/>
    <col min="22" max="22" width="8.81640625" style="136" hidden="1" customWidth="1"/>
    <col min="23" max="23" width="2.81640625" style="136" hidden="1" customWidth="1"/>
    <col min="24" max="24" width="8.81640625" style="136" hidden="1" customWidth="1"/>
    <col min="25" max="25" width="2.7265625" style="136" hidden="1" customWidth="1"/>
    <col min="26" max="26" width="11.7265625" style="136" hidden="1" customWidth="1"/>
    <col min="27" max="27" width="1.81640625" style="136" hidden="1" customWidth="1"/>
    <col min="28" max="28" width="11.7265625" style="40" hidden="1" customWidth="1"/>
    <col min="29" max="29" width="2" style="136" hidden="1" customWidth="1"/>
    <col min="30" max="30" width="11.453125" style="136" hidden="1" customWidth="1"/>
    <col min="31" max="31" width="2.453125" style="136" hidden="1" customWidth="1"/>
    <col min="32" max="32" width="11" style="40" hidden="1" customWidth="1"/>
    <col min="33" max="33" width="2.26953125" style="136" hidden="1" customWidth="1"/>
    <col min="34" max="34" width="10.54296875" style="40" hidden="1" customWidth="1"/>
    <col min="35" max="35" width="2" style="136" hidden="1" customWidth="1"/>
    <col min="36" max="36" width="11.26953125" style="136" hidden="1" customWidth="1"/>
    <col min="37" max="37" width="2.1796875" style="136" hidden="1" customWidth="1"/>
    <col min="38" max="38" width="12.7265625" style="138" hidden="1" customWidth="1"/>
    <col min="39" max="39" width="3.26953125" style="136" hidden="1" customWidth="1"/>
    <col min="40" max="40" width="13.1796875" style="138" hidden="1" customWidth="1"/>
    <col min="41" max="41" width="2.81640625" style="136" hidden="1" customWidth="1"/>
    <col min="42" max="42" width="13.7265625" style="159" hidden="1" customWidth="1"/>
    <col min="43" max="43" width="2.7265625" style="159" hidden="1" customWidth="1"/>
    <col min="44" max="44" width="12.54296875" style="136" hidden="1" customWidth="1"/>
    <col min="45" max="45" width="2.81640625" style="136" hidden="1" customWidth="1"/>
    <col min="46" max="46" width="13.7265625" style="136" hidden="1" customWidth="1"/>
    <col min="47" max="48" width="2.7265625" style="136" hidden="1" customWidth="1"/>
    <col min="49" max="49" width="8.81640625" style="136" hidden="1" customWidth="1"/>
    <col min="50" max="50" width="2.81640625" style="136" hidden="1" customWidth="1"/>
    <col min="51" max="51" width="8.81640625" style="136" hidden="1" customWidth="1"/>
    <col min="52" max="52" width="2.7265625" style="136" hidden="1" customWidth="1"/>
    <col min="53" max="53" width="11.7265625" style="136" hidden="1" customWidth="1"/>
    <col min="54" max="54" width="1.81640625" style="136" hidden="1" customWidth="1"/>
    <col min="55" max="55" width="11.7265625" style="40" hidden="1" customWidth="1"/>
    <col min="56" max="56" width="2" style="136" hidden="1" customWidth="1"/>
    <col min="57" max="57" width="11.453125" style="136" hidden="1" customWidth="1"/>
    <col min="58" max="58" width="2.453125" style="136" hidden="1" customWidth="1"/>
    <col min="59" max="59" width="11" style="40" hidden="1" customWidth="1"/>
    <col min="60" max="60" width="2.26953125" style="136" hidden="1" customWidth="1"/>
    <col min="61" max="61" width="10.54296875" style="40" hidden="1" customWidth="1"/>
    <col min="62" max="62" width="2" style="136" hidden="1" customWidth="1"/>
    <col min="63" max="63" width="11.26953125" style="136" hidden="1" customWidth="1"/>
    <col min="64" max="64" width="2.1796875" style="136" hidden="1" customWidth="1"/>
    <col min="65" max="65" width="12.7265625" style="138" hidden="1" customWidth="1"/>
    <col min="66" max="66" width="3.26953125" style="136" hidden="1" customWidth="1"/>
    <col min="67" max="67" width="13.1796875" style="138" hidden="1" customWidth="1"/>
    <col min="68" max="68" width="2.81640625" style="136" customWidth="1"/>
    <col min="69" max="69" width="13.7265625" style="159" customWidth="1"/>
    <col min="70" max="70" width="2.7265625" style="159" customWidth="1"/>
    <col min="71" max="71" width="13.7265625" style="136" customWidth="1"/>
    <col min="72" max="72" width="2.7265625" style="136" customWidth="1"/>
    <col min="73" max="73" width="13.7265625" style="136" customWidth="1"/>
    <col min="74" max="74" width="2.1796875" style="136" customWidth="1"/>
    <col min="75" max="75" width="12.7265625" style="136" bestFit="1" customWidth="1"/>
    <col min="76" max="16384" width="8.81640625" style="136"/>
  </cols>
  <sheetData>
    <row r="1" spans="1:73" ht="18" x14ac:dyDescent="0.4">
      <c r="A1" s="165" t="s">
        <v>619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</row>
    <row r="2" spans="1:73" ht="15.5" x14ac:dyDescent="0.35">
      <c r="A2" s="169" t="s">
        <v>843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</row>
    <row r="3" spans="1:73" ht="15.5" x14ac:dyDescent="0.35">
      <c r="A3" s="135"/>
      <c r="B3" s="169" t="s">
        <v>846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</row>
    <row r="4" spans="1:73" ht="16" thickBot="1" x14ac:dyDescent="0.4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P4" s="139"/>
      <c r="AQ4" s="139"/>
      <c r="AR4" s="140"/>
      <c r="BQ4" s="139"/>
      <c r="BR4" s="139"/>
    </row>
    <row r="5" spans="1:73" ht="21.5" x14ac:dyDescent="0.3">
      <c r="A5" s="41"/>
      <c r="B5" s="41"/>
      <c r="C5" s="41"/>
      <c r="D5" s="41"/>
      <c r="E5" s="41"/>
      <c r="F5" s="41"/>
      <c r="G5" s="42"/>
      <c r="H5" s="141"/>
      <c r="I5" s="42"/>
      <c r="J5" s="141"/>
      <c r="K5" s="42" t="s">
        <v>620</v>
      </c>
      <c r="L5" s="141"/>
      <c r="M5" s="42" t="s">
        <v>621</v>
      </c>
      <c r="N5" s="141"/>
      <c r="O5" s="42" t="s">
        <v>621</v>
      </c>
      <c r="P5" s="141"/>
      <c r="Q5" s="42" t="s">
        <v>622</v>
      </c>
      <c r="R5" s="141"/>
      <c r="S5" s="42" t="s">
        <v>622</v>
      </c>
      <c r="T5" s="141"/>
      <c r="V5" s="42" t="s">
        <v>623</v>
      </c>
      <c r="X5" s="42" t="s">
        <v>623</v>
      </c>
      <c r="Z5" s="42" t="s">
        <v>624</v>
      </c>
      <c r="AB5" s="43" t="s">
        <v>624</v>
      </c>
      <c r="AD5" s="42" t="s">
        <v>625</v>
      </c>
      <c r="AF5" s="43" t="s">
        <v>625</v>
      </c>
      <c r="AH5" s="43" t="s">
        <v>626</v>
      </c>
      <c r="AJ5" s="142" t="s">
        <v>626</v>
      </c>
      <c r="AL5" s="143" t="s">
        <v>626</v>
      </c>
      <c r="AN5" s="144" t="s">
        <v>627</v>
      </c>
      <c r="AP5" s="28" t="s">
        <v>626</v>
      </c>
      <c r="AQ5" s="29"/>
      <c r="AR5" s="28" t="s">
        <v>627</v>
      </c>
      <c r="AS5" s="29"/>
      <c r="AT5" s="28" t="s">
        <v>627</v>
      </c>
      <c r="AU5" s="44"/>
      <c r="AV5" s="40"/>
      <c r="AW5" s="42" t="s">
        <v>623</v>
      </c>
      <c r="AX5" s="40"/>
      <c r="AY5" s="42" t="s">
        <v>623</v>
      </c>
      <c r="AZ5" s="40"/>
      <c r="BA5" s="42" t="s">
        <v>624</v>
      </c>
      <c r="BB5" s="40"/>
      <c r="BC5" s="43" t="s">
        <v>624</v>
      </c>
      <c r="BD5" s="40"/>
      <c r="BE5" s="42" t="s">
        <v>625</v>
      </c>
      <c r="BF5" s="40"/>
      <c r="BG5" s="43" t="s">
        <v>625</v>
      </c>
      <c r="BH5" s="40"/>
      <c r="BI5" s="43" t="s">
        <v>626</v>
      </c>
      <c r="BJ5" s="40"/>
      <c r="BK5" s="45" t="s">
        <v>626</v>
      </c>
      <c r="BL5" s="40"/>
      <c r="BM5" s="43" t="s">
        <v>626</v>
      </c>
      <c r="BN5" s="40"/>
      <c r="BO5" s="46" t="s">
        <v>627</v>
      </c>
      <c r="BP5" s="40"/>
      <c r="BQ5" s="130" t="s">
        <v>841</v>
      </c>
      <c r="BR5" s="47"/>
      <c r="BS5" s="30" t="s">
        <v>845</v>
      </c>
      <c r="BU5" s="130" t="s">
        <v>842</v>
      </c>
    </row>
    <row r="6" spans="1:73" s="137" customFormat="1" ht="30.75" customHeight="1" x14ac:dyDescent="0.3">
      <c r="A6" s="48"/>
      <c r="B6" s="42"/>
      <c r="C6" s="42"/>
      <c r="D6" s="42"/>
      <c r="E6" s="42"/>
      <c r="F6" s="42"/>
      <c r="G6" s="42" t="s">
        <v>628</v>
      </c>
      <c r="H6" s="145"/>
      <c r="I6" s="42" t="s">
        <v>629</v>
      </c>
      <c r="J6" s="145"/>
      <c r="K6" s="42" t="s">
        <v>628</v>
      </c>
      <c r="L6" s="145"/>
      <c r="M6" s="42" t="s">
        <v>630</v>
      </c>
      <c r="N6" s="145"/>
      <c r="O6" s="42" t="s">
        <v>630</v>
      </c>
      <c r="P6" s="145"/>
      <c r="Q6" s="42" t="s">
        <v>621</v>
      </c>
      <c r="R6" s="145"/>
      <c r="S6" s="42" t="s">
        <v>628</v>
      </c>
      <c r="T6" s="145"/>
      <c r="V6" s="49" t="s">
        <v>631</v>
      </c>
      <c r="X6" s="42" t="s">
        <v>628</v>
      </c>
      <c r="Z6" s="49" t="s">
        <v>632</v>
      </c>
      <c r="AB6" s="49" t="s">
        <v>633</v>
      </c>
      <c r="AD6" s="42" t="s">
        <v>621</v>
      </c>
      <c r="AF6" s="49" t="s">
        <v>633</v>
      </c>
      <c r="AH6" s="45" t="s">
        <v>634</v>
      </c>
      <c r="AJ6" s="142" t="s">
        <v>635</v>
      </c>
      <c r="AL6" s="142" t="s">
        <v>636</v>
      </c>
      <c r="AN6" s="146" t="s">
        <v>621</v>
      </c>
      <c r="AP6" s="31" t="s">
        <v>628</v>
      </c>
      <c r="AQ6" s="32"/>
      <c r="AR6" s="31" t="s">
        <v>687</v>
      </c>
      <c r="AS6" s="32"/>
      <c r="AT6" s="31" t="s">
        <v>628</v>
      </c>
      <c r="AU6" s="50"/>
      <c r="AV6" s="51"/>
      <c r="AW6" s="49" t="s">
        <v>631</v>
      </c>
      <c r="AX6" s="51"/>
      <c r="AY6" s="42" t="s">
        <v>628</v>
      </c>
      <c r="AZ6" s="51"/>
      <c r="BA6" s="49" t="s">
        <v>632</v>
      </c>
      <c r="BB6" s="51"/>
      <c r="BC6" s="49" t="s">
        <v>633</v>
      </c>
      <c r="BD6" s="51"/>
      <c r="BE6" s="42" t="s">
        <v>621</v>
      </c>
      <c r="BF6" s="51"/>
      <c r="BG6" s="49" t="s">
        <v>633</v>
      </c>
      <c r="BH6" s="51"/>
      <c r="BI6" s="45" t="s">
        <v>634</v>
      </c>
      <c r="BJ6" s="51"/>
      <c r="BK6" s="45" t="s">
        <v>635</v>
      </c>
      <c r="BL6" s="51"/>
      <c r="BM6" s="45" t="s">
        <v>636</v>
      </c>
      <c r="BN6" s="51"/>
      <c r="BO6" s="52" t="s">
        <v>621</v>
      </c>
      <c r="BP6" s="51"/>
      <c r="BQ6" s="131" t="s">
        <v>621</v>
      </c>
      <c r="BR6" s="54"/>
      <c r="BS6" s="53" t="s">
        <v>628</v>
      </c>
      <c r="BU6" s="131" t="s">
        <v>621</v>
      </c>
    </row>
    <row r="7" spans="1:73" hidden="1" x14ac:dyDescent="0.3">
      <c r="A7" s="41"/>
      <c r="B7" s="41" t="s">
        <v>637</v>
      </c>
      <c r="C7" s="41"/>
      <c r="D7" s="41"/>
      <c r="E7" s="41"/>
      <c r="F7" s="41"/>
      <c r="G7" s="55"/>
      <c r="H7" s="56"/>
      <c r="I7" s="55"/>
      <c r="J7" s="56"/>
      <c r="K7" s="55"/>
      <c r="L7" s="56"/>
      <c r="M7" s="55"/>
      <c r="N7" s="56"/>
      <c r="O7" s="55"/>
      <c r="P7" s="56"/>
      <c r="Q7" s="55"/>
      <c r="R7" s="56"/>
      <c r="S7" s="55"/>
      <c r="T7" s="56"/>
      <c r="V7" s="55"/>
      <c r="X7" s="55"/>
      <c r="Z7" s="55"/>
      <c r="AN7" s="147"/>
      <c r="AP7" s="13"/>
      <c r="AQ7" s="14"/>
      <c r="AR7" s="13"/>
      <c r="AS7" s="12"/>
      <c r="AT7" s="13"/>
      <c r="AU7" s="56"/>
      <c r="AV7" s="40"/>
      <c r="AW7" s="55"/>
      <c r="AX7" s="40"/>
      <c r="AY7" s="55"/>
      <c r="AZ7" s="40"/>
      <c r="BA7" s="55"/>
      <c r="BB7" s="40"/>
      <c r="BD7" s="40"/>
      <c r="BE7" s="40"/>
      <c r="BF7" s="40"/>
      <c r="BH7" s="40"/>
      <c r="BJ7" s="40"/>
      <c r="BK7" s="40"/>
      <c r="BL7" s="40"/>
      <c r="BM7" s="40"/>
      <c r="BN7" s="40"/>
      <c r="BO7" s="57"/>
      <c r="BP7" s="40"/>
      <c r="BQ7" s="132"/>
      <c r="BR7" s="59"/>
      <c r="BS7" s="58"/>
      <c r="BU7" s="132"/>
    </row>
    <row r="8" spans="1:73" x14ac:dyDescent="0.3">
      <c r="A8" s="41"/>
      <c r="B8" s="41"/>
      <c r="C8" s="41" t="s">
        <v>638</v>
      </c>
      <c r="D8" s="41"/>
      <c r="E8" s="41"/>
      <c r="F8" s="41"/>
      <c r="G8" s="55"/>
      <c r="H8" s="56"/>
      <c r="I8" s="55"/>
      <c r="J8" s="56"/>
      <c r="K8" s="55"/>
      <c r="L8" s="56"/>
      <c r="M8" s="55"/>
      <c r="N8" s="56"/>
      <c r="O8" s="55"/>
      <c r="P8" s="56"/>
      <c r="Q8" s="55"/>
      <c r="R8" s="56"/>
      <c r="S8" s="55"/>
      <c r="T8" s="56"/>
      <c r="V8" s="55"/>
      <c r="X8" s="55"/>
      <c r="Z8" s="55"/>
      <c r="AN8" s="147"/>
      <c r="AP8" s="13"/>
      <c r="AQ8" s="14"/>
      <c r="AR8" s="13"/>
      <c r="AS8" s="12"/>
      <c r="AT8" s="13"/>
      <c r="AU8" s="56"/>
      <c r="AV8" s="40"/>
      <c r="AW8" s="55"/>
      <c r="AX8" s="40"/>
      <c r="AY8" s="55"/>
      <c r="AZ8" s="40"/>
      <c r="BA8" s="55"/>
      <c r="BB8" s="40"/>
      <c r="BD8" s="40"/>
      <c r="BE8" s="40"/>
      <c r="BF8" s="40"/>
      <c r="BH8" s="40"/>
      <c r="BJ8" s="40"/>
      <c r="BK8" s="40"/>
      <c r="BL8" s="40"/>
      <c r="BM8" s="40"/>
      <c r="BN8" s="40"/>
      <c r="BO8" s="57"/>
      <c r="BP8" s="40"/>
      <c r="BQ8" s="132"/>
      <c r="BR8" s="59"/>
      <c r="BS8" s="58">
        <v>2151.56</v>
      </c>
      <c r="BU8" s="132"/>
    </row>
    <row r="9" spans="1:73" ht="14.25" customHeight="1" x14ac:dyDescent="0.3">
      <c r="A9" s="41"/>
      <c r="B9" s="41"/>
      <c r="C9" s="41"/>
      <c r="D9" s="41" t="s">
        <v>840</v>
      </c>
      <c r="E9" s="41"/>
      <c r="F9" s="41"/>
      <c r="G9" s="55">
        <v>1450</v>
      </c>
      <c r="H9" s="56"/>
      <c r="I9" s="55">
        <v>-200</v>
      </c>
      <c r="J9" s="56"/>
      <c r="K9" s="55">
        <v>30.12</v>
      </c>
      <c r="L9" s="56"/>
      <c r="M9" s="55">
        <v>0</v>
      </c>
      <c r="N9" s="56"/>
      <c r="O9" s="55">
        <v>0</v>
      </c>
      <c r="P9" s="56"/>
      <c r="Q9" s="55">
        <v>0</v>
      </c>
      <c r="R9" s="56"/>
      <c r="S9" s="55">
        <v>0</v>
      </c>
      <c r="T9" s="56"/>
      <c r="V9" s="55">
        <v>0</v>
      </c>
      <c r="X9" s="55">
        <v>20</v>
      </c>
      <c r="Z9" s="55">
        <v>400</v>
      </c>
      <c r="AB9" s="55">
        <v>-211</v>
      </c>
      <c r="AD9" s="60">
        <v>400</v>
      </c>
      <c r="AE9" s="148"/>
      <c r="AF9" s="61">
        <v>18.98</v>
      </c>
      <c r="AG9" s="148"/>
      <c r="AH9" s="60">
        <v>400</v>
      </c>
      <c r="AJ9" s="60">
        <v>400</v>
      </c>
      <c r="AL9" s="6" t="e">
        <f>#REF!</f>
        <v>#REF!</v>
      </c>
      <c r="AN9" s="8">
        <v>0</v>
      </c>
      <c r="AP9" s="13">
        <v>15.28</v>
      </c>
      <c r="AQ9" s="14"/>
      <c r="AR9" s="13">
        <f t="shared" ref="AR9:AR19" si="0">AP9-AN9</f>
        <v>15.28</v>
      </c>
      <c r="AS9" s="15"/>
      <c r="AT9" s="13">
        <v>32.08</v>
      </c>
      <c r="AU9" s="56"/>
      <c r="AV9" s="40"/>
      <c r="AW9" s="55">
        <v>0</v>
      </c>
      <c r="AX9" s="40"/>
      <c r="AY9" s="55">
        <v>20</v>
      </c>
      <c r="AZ9" s="40"/>
      <c r="BA9" s="55">
        <v>400</v>
      </c>
      <c r="BB9" s="40"/>
      <c r="BC9" s="55">
        <v>-211</v>
      </c>
      <c r="BD9" s="40"/>
      <c r="BE9" s="60">
        <v>400</v>
      </c>
      <c r="BF9" s="62"/>
      <c r="BG9" s="61">
        <v>18.98</v>
      </c>
      <c r="BH9" s="62"/>
      <c r="BI9" s="60">
        <v>400</v>
      </c>
      <c r="BJ9" s="40"/>
      <c r="BK9" s="60">
        <v>400</v>
      </c>
      <c r="BL9" s="40"/>
      <c r="BM9" s="6" t="e">
        <f>#REF!</f>
        <v>#REF!</v>
      </c>
      <c r="BN9" s="40"/>
      <c r="BO9" s="8">
        <v>0</v>
      </c>
      <c r="BP9" s="40"/>
      <c r="BQ9" s="132">
        <v>-100</v>
      </c>
      <c r="BR9" s="14"/>
      <c r="BS9" s="13">
        <v>-293.27999999999997</v>
      </c>
      <c r="BU9" s="132">
        <v>-100</v>
      </c>
    </row>
    <row r="10" spans="1:73" ht="14.25" customHeight="1" x14ac:dyDescent="0.3">
      <c r="A10" s="41"/>
      <c r="B10" s="41"/>
      <c r="C10" s="41"/>
      <c r="D10" s="41" t="s">
        <v>639</v>
      </c>
      <c r="E10" s="41"/>
      <c r="F10" s="41"/>
      <c r="G10" s="55">
        <v>1204</v>
      </c>
      <c r="H10" s="56"/>
      <c r="I10" s="55">
        <v>1200</v>
      </c>
      <c r="J10" s="56"/>
      <c r="K10" s="55">
        <v>1204</v>
      </c>
      <c r="L10" s="56"/>
      <c r="M10" s="55">
        <v>1000</v>
      </c>
      <c r="N10" s="56"/>
      <c r="O10" s="55">
        <v>630</v>
      </c>
      <c r="P10" s="56"/>
      <c r="Q10" s="55">
        <v>630</v>
      </c>
      <c r="R10" s="56"/>
      <c r="S10" s="55">
        <v>632.57000000000005</v>
      </c>
      <c r="T10" s="56"/>
      <c r="V10" s="55">
        <v>1000</v>
      </c>
      <c r="X10" s="55">
        <v>700</v>
      </c>
      <c r="Z10" s="55">
        <v>700</v>
      </c>
      <c r="AB10" s="55">
        <v>644</v>
      </c>
      <c r="AD10" s="60">
        <v>700</v>
      </c>
      <c r="AE10" s="148"/>
      <c r="AF10" s="61">
        <v>0</v>
      </c>
      <c r="AG10" s="148"/>
      <c r="AH10" s="60">
        <v>700</v>
      </c>
      <c r="AJ10" s="60">
        <v>700</v>
      </c>
      <c r="AL10" s="6" t="e">
        <f>#REF!</f>
        <v>#REF!</v>
      </c>
      <c r="AN10" s="8">
        <v>500</v>
      </c>
      <c r="AP10" s="13">
        <f>'17-18'!B18</f>
        <v>426.85</v>
      </c>
      <c r="AQ10" s="14"/>
      <c r="AR10" s="13">
        <f t="shared" si="0"/>
        <v>-73.149999999999977</v>
      </c>
      <c r="AS10" s="15"/>
      <c r="AT10" s="13">
        <v>566.55999999999995</v>
      </c>
      <c r="AU10" s="56"/>
      <c r="AV10" s="40"/>
      <c r="AW10" s="55">
        <v>1000</v>
      </c>
      <c r="AX10" s="40"/>
      <c r="AY10" s="55">
        <v>700</v>
      </c>
      <c r="AZ10" s="40"/>
      <c r="BA10" s="55">
        <v>700</v>
      </c>
      <c r="BB10" s="40"/>
      <c r="BC10" s="55">
        <v>644</v>
      </c>
      <c r="BD10" s="40"/>
      <c r="BE10" s="60">
        <v>700</v>
      </c>
      <c r="BF10" s="62"/>
      <c r="BG10" s="61">
        <v>0</v>
      </c>
      <c r="BH10" s="62"/>
      <c r="BI10" s="60">
        <v>700</v>
      </c>
      <c r="BJ10" s="40"/>
      <c r="BK10" s="60">
        <v>700</v>
      </c>
      <c r="BL10" s="40"/>
      <c r="BM10" s="6" t="e">
        <f>#REF!</f>
        <v>#REF!</v>
      </c>
      <c r="BN10" s="40"/>
      <c r="BO10" s="8">
        <v>500</v>
      </c>
      <c r="BP10" s="40"/>
      <c r="BQ10" s="132">
        <v>0</v>
      </c>
      <c r="BR10" s="14"/>
      <c r="BS10" s="162"/>
      <c r="BU10" s="132">
        <v>0</v>
      </c>
    </row>
    <row r="11" spans="1:73" ht="14.25" hidden="1" customHeight="1" x14ac:dyDescent="0.3">
      <c r="A11" s="41"/>
      <c r="B11" s="41"/>
      <c r="C11" s="41"/>
      <c r="D11" s="41" t="s">
        <v>640</v>
      </c>
      <c r="E11" s="41"/>
      <c r="F11" s="41"/>
      <c r="G11" s="55"/>
      <c r="H11" s="56"/>
      <c r="I11" s="55"/>
      <c r="J11" s="56"/>
      <c r="K11" s="55"/>
      <c r="L11" s="56"/>
      <c r="M11" s="55"/>
      <c r="N11" s="56"/>
      <c r="O11" s="55"/>
      <c r="P11" s="56"/>
      <c r="Q11" s="55"/>
      <c r="R11" s="56"/>
      <c r="S11" s="55"/>
      <c r="T11" s="56"/>
      <c r="V11" s="55"/>
      <c r="X11" s="55"/>
      <c r="Z11" s="55">
        <v>0</v>
      </c>
      <c r="AB11" s="55">
        <v>10000</v>
      </c>
      <c r="AD11" s="60">
        <v>0</v>
      </c>
      <c r="AE11" s="148"/>
      <c r="AF11" s="61">
        <v>0</v>
      </c>
      <c r="AG11" s="148"/>
      <c r="AH11" s="60">
        <v>0</v>
      </c>
      <c r="AJ11" s="60">
        <v>0</v>
      </c>
      <c r="AL11" s="6"/>
      <c r="AN11" s="8"/>
      <c r="AP11" s="13"/>
      <c r="AQ11" s="14"/>
      <c r="AR11" s="13">
        <f t="shared" si="0"/>
        <v>0</v>
      </c>
      <c r="AS11" s="15"/>
      <c r="AT11" s="13"/>
      <c r="AU11" s="56"/>
      <c r="AV11" s="40"/>
      <c r="AW11" s="55"/>
      <c r="AX11" s="40"/>
      <c r="AY11" s="55"/>
      <c r="AZ11" s="40"/>
      <c r="BA11" s="55">
        <v>0</v>
      </c>
      <c r="BB11" s="40"/>
      <c r="BC11" s="55">
        <v>10000</v>
      </c>
      <c r="BD11" s="40"/>
      <c r="BE11" s="60">
        <v>0</v>
      </c>
      <c r="BF11" s="62"/>
      <c r="BG11" s="61">
        <v>0</v>
      </c>
      <c r="BH11" s="62"/>
      <c r="BI11" s="60">
        <v>0</v>
      </c>
      <c r="BJ11" s="40"/>
      <c r="BK11" s="60">
        <v>0</v>
      </c>
      <c r="BL11" s="40"/>
      <c r="BM11" s="6"/>
      <c r="BN11" s="40"/>
      <c r="BO11" s="8"/>
      <c r="BP11" s="40"/>
      <c r="BQ11" s="132"/>
      <c r="BR11" s="14"/>
      <c r="BS11" s="13">
        <v>0</v>
      </c>
      <c r="BU11" s="132"/>
    </row>
    <row r="12" spans="1:73" ht="14.25" customHeight="1" x14ac:dyDescent="0.3">
      <c r="A12" s="41"/>
      <c r="B12" s="41"/>
      <c r="C12" s="41"/>
      <c r="D12" s="41" t="s">
        <v>294</v>
      </c>
      <c r="E12" s="41"/>
      <c r="F12" s="41"/>
      <c r="G12" s="55"/>
      <c r="H12" s="56"/>
      <c r="I12" s="55"/>
      <c r="J12" s="56"/>
      <c r="K12" s="55"/>
      <c r="L12" s="56"/>
      <c r="M12" s="55"/>
      <c r="N12" s="56"/>
      <c r="O12" s="55"/>
      <c r="P12" s="56"/>
      <c r="Q12" s="55"/>
      <c r="R12" s="56"/>
      <c r="S12" s="55"/>
      <c r="T12" s="56"/>
      <c r="V12" s="55"/>
      <c r="X12" s="55"/>
      <c r="Z12" s="55">
        <v>3000</v>
      </c>
      <c r="AB12" s="55">
        <v>4432.5</v>
      </c>
      <c r="AD12" s="60">
        <v>3000</v>
      </c>
      <c r="AE12" s="148"/>
      <c r="AF12" s="61">
        <v>4077</v>
      </c>
      <c r="AG12" s="148"/>
      <c r="AH12" s="60">
        <v>3000</v>
      </c>
      <c r="AJ12" s="60">
        <v>3000</v>
      </c>
      <c r="AL12" s="6" t="e">
        <f>#REF!</f>
        <v>#REF!</v>
      </c>
      <c r="AN12" s="8">
        <v>3800</v>
      </c>
      <c r="AP12" s="13">
        <f>'17-18'!B26</f>
        <v>3863.25</v>
      </c>
      <c r="AQ12" s="14"/>
      <c r="AR12" s="13">
        <f t="shared" si="0"/>
        <v>63.25</v>
      </c>
      <c r="AS12" s="15"/>
      <c r="AT12" s="13">
        <v>4443.5</v>
      </c>
      <c r="AU12" s="56"/>
      <c r="AV12" s="40"/>
      <c r="AW12" s="55"/>
      <c r="AX12" s="40"/>
      <c r="AY12" s="55"/>
      <c r="AZ12" s="40"/>
      <c r="BA12" s="55">
        <v>3000</v>
      </c>
      <c r="BB12" s="40"/>
      <c r="BC12" s="55">
        <v>4432.5</v>
      </c>
      <c r="BD12" s="40"/>
      <c r="BE12" s="60">
        <v>3000</v>
      </c>
      <c r="BF12" s="62"/>
      <c r="BG12" s="61">
        <v>4077</v>
      </c>
      <c r="BH12" s="62"/>
      <c r="BI12" s="60">
        <v>3000</v>
      </c>
      <c r="BJ12" s="40"/>
      <c r="BK12" s="60">
        <v>3000</v>
      </c>
      <c r="BL12" s="40"/>
      <c r="BM12" s="6" t="e">
        <f>#REF!</f>
        <v>#REF!</v>
      </c>
      <c r="BN12" s="40"/>
      <c r="BO12" s="8">
        <v>3800</v>
      </c>
      <c r="BP12" s="40"/>
      <c r="BQ12" s="132">
        <v>3500</v>
      </c>
      <c r="BR12" s="14"/>
      <c r="BS12" s="13">
        <v>3457</v>
      </c>
      <c r="BU12" s="132">
        <v>3000</v>
      </c>
    </row>
    <row r="13" spans="1:73" ht="14.25" customHeight="1" x14ac:dyDescent="0.3">
      <c r="A13" s="41"/>
      <c r="B13" s="41"/>
      <c r="C13" s="41"/>
      <c r="D13" s="41" t="s">
        <v>641</v>
      </c>
      <c r="E13" s="41"/>
      <c r="F13" s="41"/>
      <c r="G13" s="55">
        <v>635</v>
      </c>
      <c r="H13" s="56"/>
      <c r="I13" s="55">
        <v>1792</v>
      </c>
      <c r="J13" s="56"/>
      <c r="K13" s="55">
        <f>2037.3+30</f>
        <v>2067.3000000000002</v>
      </c>
      <c r="L13" s="56"/>
      <c r="M13" s="55">
        <v>23625</v>
      </c>
      <c r="N13" s="56"/>
      <c r="O13" s="55">
        <v>25900</v>
      </c>
      <c r="P13" s="56"/>
      <c r="Q13" s="55">
        <v>25900</v>
      </c>
      <c r="R13" s="56"/>
      <c r="S13" s="55">
        <v>26143</v>
      </c>
      <c r="T13" s="56"/>
      <c r="V13" s="55">
        <v>26325</v>
      </c>
      <c r="X13" s="55">
        <v>24214</v>
      </c>
      <c r="Z13" s="55">
        <v>25325</v>
      </c>
      <c r="AB13" s="55">
        <v>25623</v>
      </c>
      <c r="AD13" s="60">
        <v>25325</v>
      </c>
      <c r="AE13" s="148"/>
      <c r="AF13" s="61">
        <v>22987</v>
      </c>
      <c r="AG13" s="148"/>
      <c r="AH13" s="60">
        <v>25325</v>
      </c>
      <c r="AJ13" s="60">
        <v>25325</v>
      </c>
      <c r="AL13" s="6" t="e">
        <f>#REF!</f>
        <v>#REF!</v>
      </c>
      <c r="AN13" s="8">
        <v>22500</v>
      </c>
      <c r="AP13" s="13">
        <f>'17-18'!B20</f>
        <v>20631</v>
      </c>
      <c r="AQ13" s="14"/>
      <c r="AR13" s="13">
        <f t="shared" si="0"/>
        <v>-1869</v>
      </c>
      <c r="AS13" s="15"/>
      <c r="AT13" s="13">
        <v>20690</v>
      </c>
      <c r="AU13" s="56"/>
      <c r="AV13" s="40"/>
      <c r="AW13" s="55">
        <v>26325</v>
      </c>
      <c r="AX13" s="40"/>
      <c r="AY13" s="55">
        <v>24214</v>
      </c>
      <c r="AZ13" s="40"/>
      <c r="BA13" s="55">
        <v>25325</v>
      </c>
      <c r="BB13" s="40"/>
      <c r="BC13" s="55">
        <v>25623</v>
      </c>
      <c r="BD13" s="40"/>
      <c r="BE13" s="60">
        <v>25325</v>
      </c>
      <c r="BF13" s="62"/>
      <c r="BG13" s="61">
        <v>22987</v>
      </c>
      <c r="BH13" s="62"/>
      <c r="BI13" s="60">
        <v>25325</v>
      </c>
      <c r="BJ13" s="40"/>
      <c r="BK13" s="60">
        <v>25325</v>
      </c>
      <c r="BL13" s="40"/>
      <c r="BM13" s="6" t="e">
        <f>#REF!</f>
        <v>#REF!</v>
      </c>
      <c r="BN13" s="40"/>
      <c r="BO13" s="8">
        <v>22500</v>
      </c>
      <c r="BP13" s="40"/>
      <c r="BQ13" s="132">
        <v>11000</v>
      </c>
      <c r="BR13" s="14"/>
      <c r="BS13" s="13">
        <v>11337</v>
      </c>
      <c r="BU13" s="132">
        <v>11000</v>
      </c>
    </row>
    <row r="14" spans="1:73" ht="14.25" customHeight="1" x14ac:dyDescent="0.3">
      <c r="A14" s="41"/>
      <c r="B14" s="41"/>
      <c r="C14" s="41"/>
      <c r="D14" s="41" t="s">
        <v>686</v>
      </c>
      <c r="E14" s="41"/>
      <c r="F14" s="41"/>
      <c r="G14" s="55"/>
      <c r="H14" s="56"/>
      <c r="I14" s="55"/>
      <c r="J14" s="56"/>
      <c r="K14" s="55"/>
      <c r="L14" s="56"/>
      <c r="M14" s="55"/>
      <c r="N14" s="56"/>
      <c r="O14" s="55"/>
      <c r="P14" s="56"/>
      <c r="Q14" s="55"/>
      <c r="R14" s="56"/>
      <c r="S14" s="55"/>
      <c r="T14" s="56"/>
      <c r="V14" s="55"/>
      <c r="X14" s="55"/>
      <c r="Z14" s="55"/>
      <c r="AB14" s="55"/>
      <c r="AD14" s="60"/>
      <c r="AE14" s="148"/>
      <c r="AF14" s="61"/>
      <c r="AG14" s="148"/>
      <c r="AH14" s="60"/>
      <c r="AJ14" s="60"/>
      <c r="AL14" s="6"/>
      <c r="AN14" s="8"/>
      <c r="AP14" s="13"/>
      <c r="AQ14" s="14"/>
      <c r="AR14" s="13"/>
      <c r="AS14" s="15"/>
      <c r="AT14" s="13">
        <v>0</v>
      </c>
      <c r="AU14" s="56"/>
      <c r="AV14" s="40"/>
      <c r="AW14" s="55"/>
      <c r="AX14" s="40"/>
      <c r="AY14" s="55"/>
      <c r="AZ14" s="40"/>
      <c r="BA14" s="55"/>
      <c r="BB14" s="40"/>
      <c r="BC14" s="55"/>
      <c r="BD14" s="40"/>
      <c r="BE14" s="60"/>
      <c r="BF14" s="62"/>
      <c r="BG14" s="61"/>
      <c r="BH14" s="62"/>
      <c r="BI14" s="60"/>
      <c r="BJ14" s="40"/>
      <c r="BK14" s="60"/>
      <c r="BL14" s="40"/>
      <c r="BM14" s="6"/>
      <c r="BN14" s="40"/>
      <c r="BO14" s="8"/>
      <c r="BP14" s="40"/>
      <c r="BQ14" s="132">
        <v>17000</v>
      </c>
      <c r="BR14" s="14"/>
      <c r="BS14" s="13">
        <v>13446.96</v>
      </c>
      <c r="BU14" s="132">
        <v>17000</v>
      </c>
    </row>
    <row r="15" spans="1:73" ht="14.25" customHeight="1" x14ac:dyDescent="0.3">
      <c r="A15" s="41"/>
      <c r="B15" s="41"/>
      <c r="C15" s="41"/>
      <c r="D15" s="41" t="s">
        <v>642</v>
      </c>
      <c r="E15" s="41"/>
      <c r="F15" s="41"/>
      <c r="G15" s="55">
        <v>160</v>
      </c>
      <c r="H15" s="56"/>
      <c r="I15" s="55">
        <v>250</v>
      </c>
      <c r="J15" s="56"/>
      <c r="K15" s="55">
        <f>1124.44+120</f>
        <v>1244.44</v>
      </c>
      <c r="L15" s="56"/>
      <c r="M15" s="55">
        <v>0</v>
      </c>
      <c r="N15" s="56"/>
      <c r="O15" s="55">
        <v>0</v>
      </c>
      <c r="P15" s="56"/>
      <c r="Q15" s="55">
        <v>0</v>
      </c>
      <c r="R15" s="56"/>
      <c r="S15" s="55">
        <v>0</v>
      </c>
      <c r="T15" s="56"/>
      <c r="V15" s="55">
        <v>0</v>
      </c>
      <c r="X15" s="55">
        <v>1432</v>
      </c>
      <c r="Z15" s="55">
        <v>750</v>
      </c>
      <c r="AB15" s="55">
        <v>554</v>
      </c>
      <c r="AD15" s="60">
        <v>750</v>
      </c>
      <c r="AE15" s="148"/>
      <c r="AF15" s="61">
        <v>507.79</v>
      </c>
      <c r="AG15" s="148"/>
      <c r="AH15" s="60">
        <v>550</v>
      </c>
      <c r="AJ15" s="60">
        <v>550</v>
      </c>
      <c r="AL15" s="6" t="e">
        <f>#REF!</f>
        <v>#REF!</v>
      </c>
      <c r="AN15" s="8">
        <v>1200</v>
      </c>
      <c r="AP15" s="13">
        <f>'17-18'!B34</f>
        <v>1192.52</v>
      </c>
      <c r="AQ15" s="14"/>
      <c r="AR15" s="13">
        <f t="shared" si="0"/>
        <v>-7.4800000000000182</v>
      </c>
      <c r="AS15" s="15"/>
      <c r="AT15" s="13">
        <v>1610.74</v>
      </c>
      <c r="AU15" s="56"/>
      <c r="AV15" s="40"/>
      <c r="AW15" s="55">
        <v>0</v>
      </c>
      <c r="AX15" s="40"/>
      <c r="AY15" s="55">
        <v>1432</v>
      </c>
      <c r="AZ15" s="40"/>
      <c r="BA15" s="55">
        <v>750</v>
      </c>
      <c r="BB15" s="40"/>
      <c r="BC15" s="55">
        <v>554</v>
      </c>
      <c r="BD15" s="40"/>
      <c r="BE15" s="60">
        <v>750</v>
      </c>
      <c r="BF15" s="62"/>
      <c r="BG15" s="61">
        <v>507.79</v>
      </c>
      <c r="BH15" s="62"/>
      <c r="BI15" s="60">
        <v>550</v>
      </c>
      <c r="BJ15" s="40"/>
      <c r="BK15" s="60">
        <v>550</v>
      </c>
      <c r="BL15" s="40"/>
      <c r="BM15" s="6" t="e">
        <f>#REF!</f>
        <v>#REF!</v>
      </c>
      <c r="BN15" s="40"/>
      <c r="BO15" s="8">
        <v>1200</v>
      </c>
      <c r="BP15" s="40"/>
      <c r="BQ15" s="132">
        <v>1000</v>
      </c>
      <c r="BR15" s="14"/>
      <c r="BS15" s="13">
        <v>2514.33</v>
      </c>
      <c r="BU15" s="132">
        <v>2000</v>
      </c>
    </row>
    <row r="16" spans="1:73" ht="14.25" customHeight="1" x14ac:dyDescent="0.3">
      <c r="A16" s="41"/>
      <c r="B16" s="41"/>
      <c r="C16" s="41"/>
      <c r="D16" s="41" t="s">
        <v>831</v>
      </c>
      <c r="E16" s="41"/>
      <c r="F16" s="41"/>
      <c r="G16" s="55"/>
      <c r="H16" s="56"/>
      <c r="I16" s="55"/>
      <c r="J16" s="56"/>
      <c r="K16" s="55"/>
      <c r="L16" s="56"/>
      <c r="M16" s="55"/>
      <c r="N16" s="56"/>
      <c r="O16" s="55"/>
      <c r="P16" s="56"/>
      <c r="Q16" s="55"/>
      <c r="R16" s="56"/>
      <c r="S16" s="55"/>
      <c r="T16" s="56"/>
      <c r="V16" s="55"/>
      <c r="X16" s="55"/>
      <c r="Z16" s="55"/>
      <c r="AB16" s="55"/>
      <c r="AD16" s="60"/>
      <c r="AE16" s="148"/>
      <c r="AF16" s="61"/>
      <c r="AG16" s="148"/>
      <c r="AH16" s="60"/>
      <c r="AJ16" s="60"/>
      <c r="AL16" s="6"/>
      <c r="AN16" s="8"/>
      <c r="AP16" s="13"/>
      <c r="AQ16" s="14"/>
      <c r="AR16" s="13"/>
      <c r="AS16" s="15"/>
      <c r="AT16" s="13"/>
      <c r="AU16" s="56"/>
      <c r="AV16" s="40"/>
      <c r="AW16" s="55"/>
      <c r="AX16" s="40"/>
      <c r="AY16" s="55"/>
      <c r="AZ16" s="40"/>
      <c r="BA16" s="55"/>
      <c r="BB16" s="40"/>
      <c r="BC16" s="55"/>
      <c r="BD16" s="40"/>
      <c r="BE16" s="60"/>
      <c r="BF16" s="62"/>
      <c r="BG16" s="61"/>
      <c r="BH16" s="62"/>
      <c r="BI16" s="60"/>
      <c r="BJ16" s="40"/>
      <c r="BK16" s="60"/>
      <c r="BL16" s="40"/>
      <c r="BM16" s="6"/>
      <c r="BN16" s="40"/>
      <c r="BO16" s="8"/>
      <c r="BP16" s="40"/>
      <c r="BQ16" s="132">
        <v>1300</v>
      </c>
      <c r="BR16" s="14"/>
      <c r="BS16" s="163">
        <v>1250</v>
      </c>
      <c r="BU16" s="132">
        <v>1300</v>
      </c>
    </row>
    <row r="17" spans="1:75" ht="14.25" customHeight="1" x14ac:dyDescent="0.3">
      <c r="A17" s="41"/>
      <c r="B17" s="41"/>
      <c r="C17" s="41"/>
      <c r="D17" s="41" t="s">
        <v>644</v>
      </c>
      <c r="E17" s="41"/>
      <c r="F17" s="41"/>
      <c r="G17" s="55" t="e">
        <f>ROUND(#REF!+SUM(#REF!),5)</f>
        <v>#REF!</v>
      </c>
      <c r="H17" s="56"/>
      <c r="I17" s="55" t="e">
        <f>ROUND(#REF!+SUM(#REF!),5)</f>
        <v>#REF!</v>
      </c>
      <c r="J17" s="56"/>
      <c r="K17" s="55" t="e">
        <f>ROUND(#REF!+SUM(#REF!),5)</f>
        <v>#REF!</v>
      </c>
      <c r="L17" s="56"/>
      <c r="M17" s="55" t="e">
        <f>ROUND(#REF!+SUM(#REF!),5)</f>
        <v>#REF!</v>
      </c>
      <c r="N17" s="56"/>
      <c r="O17" s="55">
        <v>-1250</v>
      </c>
      <c r="P17" s="56"/>
      <c r="Q17" s="55">
        <v>-1250</v>
      </c>
      <c r="R17" s="56"/>
      <c r="S17" s="55" t="e">
        <f>+#REF!+#REF!</f>
        <v>#REF!</v>
      </c>
      <c r="T17" s="56"/>
      <c r="V17" s="55" t="e">
        <f>+#REF!+#REF!</f>
        <v>#REF!</v>
      </c>
      <c r="X17" s="55">
        <v>819</v>
      </c>
      <c r="Z17" s="55">
        <v>500</v>
      </c>
      <c r="AB17" s="55">
        <v>55</v>
      </c>
      <c r="AD17" s="60">
        <v>500</v>
      </c>
      <c r="AE17" s="148"/>
      <c r="AF17" s="61">
        <v>6</v>
      </c>
      <c r="AG17" s="148"/>
      <c r="AH17" s="60">
        <v>0</v>
      </c>
      <c r="AJ17" s="60">
        <v>0</v>
      </c>
      <c r="AL17" s="6">
        <v>0</v>
      </c>
      <c r="AN17" s="8">
        <v>0</v>
      </c>
      <c r="AP17" s="13"/>
      <c r="AQ17" s="14"/>
      <c r="AR17" s="13">
        <f>AP17-AN17</f>
        <v>0</v>
      </c>
      <c r="AS17" s="15"/>
      <c r="AT17" s="13">
        <v>831.01</v>
      </c>
      <c r="AU17" s="56"/>
      <c r="AV17" s="40"/>
      <c r="AW17" s="55" t="e">
        <f>+#REF!+#REF!</f>
        <v>#REF!</v>
      </c>
      <c r="AX17" s="40"/>
      <c r="AY17" s="55">
        <v>819</v>
      </c>
      <c r="AZ17" s="40"/>
      <c r="BA17" s="55">
        <v>500</v>
      </c>
      <c r="BB17" s="40"/>
      <c r="BC17" s="55">
        <v>55</v>
      </c>
      <c r="BD17" s="40"/>
      <c r="BE17" s="60">
        <v>500</v>
      </c>
      <c r="BF17" s="62"/>
      <c r="BG17" s="61">
        <v>6</v>
      </c>
      <c r="BH17" s="62"/>
      <c r="BI17" s="60">
        <v>0</v>
      </c>
      <c r="BJ17" s="40"/>
      <c r="BK17" s="60">
        <v>0</v>
      </c>
      <c r="BL17" s="40"/>
      <c r="BM17" s="6">
        <v>0</v>
      </c>
      <c r="BN17" s="40"/>
      <c r="BO17" s="8">
        <v>0</v>
      </c>
      <c r="BP17" s="40"/>
      <c r="BQ17" s="132">
        <v>1000</v>
      </c>
      <c r="BR17" s="14"/>
      <c r="BS17" s="163"/>
      <c r="BU17" s="132">
        <v>1000</v>
      </c>
    </row>
    <row r="18" spans="1:75" ht="14.25" customHeight="1" thickBot="1" x14ac:dyDescent="0.35">
      <c r="A18" s="41"/>
      <c r="B18" s="41"/>
      <c r="C18" s="41"/>
      <c r="D18" s="41" t="s">
        <v>643</v>
      </c>
      <c r="E18" s="41"/>
      <c r="F18" s="41"/>
      <c r="G18" s="55"/>
      <c r="H18" s="56"/>
      <c r="I18" s="55"/>
      <c r="J18" s="56"/>
      <c r="K18" s="55"/>
      <c r="L18" s="56"/>
      <c r="M18" s="55"/>
      <c r="N18" s="56"/>
      <c r="O18" s="55"/>
      <c r="P18" s="56"/>
      <c r="Q18" s="55"/>
      <c r="R18" s="56"/>
      <c r="S18" s="55"/>
      <c r="T18" s="56"/>
      <c r="V18" s="55"/>
      <c r="X18" s="55"/>
      <c r="Z18" s="55">
        <v>0</v>
      </c>
      <c r="AB18" s="55">
        <v>214.34</v>
      </c>
      <c r="AD18" s="60">
        <v>0</v>
      </c>
      <c r="AE18" s="148"/>
      <c r="AF18" s="61">
        <v>0</v>
      </c>
      <c r="AG18" s="148"/>
      <c r="AH18" s="60">
        <v>0</v>
      </c>
      <c r="AJ18" s="60">
        <v>0</v>
      </c>
      <c r="AL18" s="6" t="e">
        <f>#REF!</f>
        <v>#REF!</v>
      </c>
      <c r="AN18" s="8">
        <v>50</v>
      </c>
      <c r="AP18" s="13">
        <f>'17-18'!B29</f>
        <v>43.91</v>
      </c>
      <c r="AQ18" s="14"/>
      <c r="AR18" s="13">
        <f>AP18-AN18</f>
        <v>-6.0900000000000034</v>
      </c>
      <c r="AS18" s="15"/>
      <c r="AT18" s="13">
        <v>59.61</v>
      </c>
      <c r="AU18" s="56"/>
      <c r="AV18" s="40"/>
      <c r="AW18" s="55"/>
      <c r="AX18" s="40"/>
      <c r="AY18" s="55"/>
      <c r="AZ18" s="40"/>
      <c r="BA18" s="55">
        <v>0</v>
      </c>
      <c r="BB18" s="40"/>
      <c r="BC18" s="55">
        <v>214.34</v>
      </c>
      <c r="BD18" s="40"/>
      <c r="BE18" s="60">
        <v>0</v>
      </c>
      <c r="BF18" s="62"/>
      <c r="BG18" s="61">
        <v>0</v>
      </c>
      <c r="BH18" s="62"/>
      <c r="BI18" s="60">
        <v>0</v>
      </c>
      <c r="BJ18" s="40"/>
      <c r="BK18" s="60">
        <v>0</v>
      </c>
      <c r="BL18" s="40"/>
      <c r="BM18" s="6" t="e">
        <f>#REF!</f>
        <v>#REF!</v>
      </c>
      <c r="BN18" s="40"/>
      <c r="BO18" s="8">
        <v>50</v>
      </c>
      <c r="BP18" s="40"/>
      <c r="BQ18" s="132">
        <v>0</v>
      </c>
      <c r="BR18" s="14"/>
      <c r="BS18" s="163"/>
      <c r="BU18" s="132">
        <v>0</v>
      </c>
    </row>
    <row r="19" spans="1:75" ht="14.5" thickBot="1" x14ac:dyDescent="0.35">
      <c r="A19" s="41"/>
      <c r="B19" s="41"/>
      <c r="C19" s="70" t="s">
        <v>645</v>
      </c>
      <c r="D19" s="70"/>
      <c r="E19" s="70"/>
      <c r="F19" s="70"/>
      <c r="G19" s="71" t="e">
        <f>ROUND(SUM(G8:G10)+SUM(G13:G13)+SUM(G15:G15)+G17,5)</f>
        <v>#REF!</v>
      </c>
      <c r="H19" s="41"/>
      <c r="I19" s="71" t="e">
        <f>ROUND(SUM(I8:I10)+SUM(I13:I13)+SUM(I15:I15)+I17,5)</f>
        <v>#REF!</v>
      </c>
      <c r="J19" s="41"/>
      <c r="K19" s="71" t="e">
        <f>ROUND(SUM(K8:K10)+SUM(K13:K13)+SUM(K15:K15)+K17,5)</f>
        <v>#REF!</v>
      </c>
      <c r="L19" s="41"/>
      <c r="M19" s="71" t="e">
        <f>ROUND(SUM(M8:M10)+SUM(M13:M13)+SUM(M15:M15)+M17,5)</f>
        <v>#REF!</v>
      </c>
      <c r="N19" s="41"/>
      <c r="O19" s="71">
        <f>ROUND(SUM(O8:O10)+SUM(O13:O13)+SUM(O15:O15)+O17,5)</f>
        <v>25280</v>
      </c>
      <c r="P19" s="41"/>
      <c r="Q19" s="71">
        <f>ROUND(SUM(Q8:Q10)+SUM(Q13:Q13)+SUM(Q15:Q15)+Q17,5)</f>
        <v>25280</v>
      </c>
      <c r="R19" s="41"/>
      <c r="S19" s="71" t="e">
        <f>ROUND(SUM(S8:S10)+SUM(S13:S13)+SUM(S15:S15)+S17,5)</f>
        <v>#REF!</v>
      </c>
      <c r="T19" s="41"/>
      <c r="U19" s="149"/>
      <c r="V19" s="71" t="e">
        <f>ROUND(SUM(V8:V10)+SUM(V13:V13)+SUM(V15:V15)+V17,5)</f>
        <v>#REF!</v>
      </c>
      <c r="W19" s="150"/>
      <c r="X19" s="71">
        <f>ROUND(SUM(X8:X10)+SUM(X13:X13)+SUM(X15:X15)+X17,5)</f>
        <v>27185</v>
      </c>
      <c r="Y19" s="150"/>
      <c r="Z19" s="71">
        <f>SUM(Z9:Z17)</f>
        <v>30675</v>
      </c>
      <c r="AA19" s="150"/>
      <c r="AB19" s="72">
        <f>SUM(AB9:AB17)</f>
        <v>41097.5</v>
      </c>
      <c r="AC19" s="150"/>
      <c r="AD19" s="73">
        <f>SUM(AD9:AD17)</f>
        <v>30675</v>
      </c>
      <c r="AE19" s="151"/>
      <c r="AF19" s="74">
        <f>SUM(AF9:AF17)</f>
        <v>27596.77</v>
      </c>
      <c r="AG19" s="151"/>
      <c r="AH19" s="74">
        <f>SUM(AH9:AH17)</f>
        <v>29975</v>
      </c>
      <c r="AI19" s="150"/>
      <c r="AJ19" s="74">
        <f>SUM(AJ9:AJ17)</f>
        <v>29975</v>
      </c>
      <c r="AK19" s="150"/>
      <c r="AL19" s="74" t="e">
        <f>SUM(AL9:AL17)</f>
        <v>#REF!</v>
      </c>
      <c r="AM19" s="150"/>
      <c r="AN19" s="33">
        <f>SUM(AN9:AN17)</f>
        <v>28000</v>
      </c>
      <c r="AO19" s="150"/>
      <c r="AP19" s="35">
        <f>SUM(AP9:AP17)</f>
        <v>26128.9</v>
      </c>
      <c r="AQ19" s="34"/>
      <c r="AR19" s="20">
        <f t="shared" si="0"/>
        <v>-1871.0999999999985</v>
      </c>
      <c r="AS19" s="34"/>
      <c r="AT19" s="35">
        <v>29184.02</v>
      </c>
      <c r="AU19" s="41"/>
      <c r="AV19" s="75"/>
      <c r="AW19" s="71" t="e">
        <f>ROUND(SUM(AW8:AW10)+SUM(AW13:AW13)+SUM(AW15:AW15)+AW17,5)</f>
        <v>#REF!</v>
      </c>
      <c r="AX19" s="76"/>
      <c r="AY19" s="71">
        <f>ROUND(SUM(AY8:AY10)+SUM(AY13:AY13)+SUM(AY15:AY15)+AY17,5)</f>
        <v>27185</v>
      </c>
      <c r="AZ19" s="76"/>
      <c r="BA19" s="71">
        <f>SUM(BA9:BA17)</f>
        <v>30675</v>
      </c>
      <c r="BB19" s="76"/>
      <c r="BC19" s="72">
        <f>SUM(BC9:BC17)</f>
        <v>41097.5</v>
      </c>
      <c r="BD19" s="76"/>
      <c r="BE19" s="73">
        <f>SUM(BE9:BE17)</f>
        <v>30675</v>
      </c>
      <c r="BF19" s="77"/>
      <c r="BG19" s="74">
        <f>SUM(BG9:BG17)</f>
        <v>27596.77</v>
      </c>
      <c r="BH19" s="77"/>
      <c r="BI19" s="74">
        <f>SUM(BI9:BI17)</f>
        <v>29975</v>
      </c>
      <c r="BJ19" s="76"/>
      <c r="BK19" s="74">
        <f>SUM(BK9:BK17)</f>
        <v>29975</v>
      </c>
      <c r="BL19" s="76"/>
      <c r="BM19" s="74" t="e">
        <f>SUM(BM9:BM17)</f>
        <v>#REF!</v>
      </c>
      <c r="BN19" s="76"/>
      <c r="BO19" s="33">
        <f>SUM(BO9:BO17)</f>
        <v>28000</v>
      </c>
      <c r="BP19" s="76"/>
      <c r="BQ19" s="127">
        <f>SUM(BQ9:BQ18)</f>
        <v>34700</v>
      </c>
      <c r="BR19" s="34"/>
      <c r="BS19" s="36">
        <f>SUM(BS8:BS18)</f>
        <v>33863.57</v>
      </c>
      <c r="BU19" s="127">
        <f>SUM(BU9:BU18)</f>
        <v>35200</v>
      </c>
      <c r="BW19" s="158"/>
    </row>
    <row r="20" spans="1:75" x14ac:dyDescent="0.3">
      <c r="A20" s="41"/>
      <c r="B20" s="41"/>
      <c r="C20" s="41"/>
      <c r="D20" s="41"/>
      <c r="E20" s="41"/>
      <c r="F20" s="41"/>
      <c r="G20" s="55"/>
      <c r="H20" s="56"/>
      <c r="I20" s="55"/>
      <c r="J20" s="56"/>
      <c r="K20" s="55"/>
      <c r="L20" s="56"/>
      <c r="M20" s="55"/>
      <c r="N20" s="56"/>
      <c r="O20" s="55"/>
      <c r="P20" s="56"/>
      <c r="Q20" s="55"/>
      <c r="R20" s="56"/>
      <c r="S20" s="55"/>
      <c r="T20" s="56"/>
      <c r="U20" s="152"/>
      <c r="V20" s="55"/>
      <c r="X20" s="55"/>
      <c r="Z20" s="55"/>
      <c r="AD20" s="148"/>
      <c r="AE20" s="148"/>
      <c r="AF20" s="62"/>
      <c r="AG20" s="148"/>
      <c r="AH20" s="62"/>
      <c r="AJ20" s="62"/>
      <c r="AL20" s="66"/>
      <c r="AN20" s="57"/>
      <c r="AP20" s="13"/>
      <c r="AQ20" s="14"/>
      <c r="AR20" s="13"/>
      <c r="AS20" s="15"/>
      <c r="AT20" s="13"/>
      <c r="AU20" s="56"/>
      <c r="AV20" s="78"/>
      <c r="AW20" s="55"/>
      <c r="AX20" s="40"/>
      <c r="AY20" s="55"/>
      <c r="AZ20" s="40"/>
      <c r="BA20" s="55"/>
      <c r="BB20" s="40"/>
      <c r="BD20" s="40"/>
      <c r="BE20" s="62"/>
      <c r="BF20" s="62"/>
      <c r="BG20" s="62"/>
      <c r="BH20" s="62"/>
      <c r="BI20" s="62"/>
      <c r="BJ20" s="40"/>
      <c r="BK20" s="62"/>
      <c r="BL20" s="40"/>
      <c r="BM20" s="66"/>
      <c r="BN20" s="40"/>
      <c r="BO20" s="57"/>
      <c r="BP20" s="40"/>
      <c r="BQ20" s="132"/>
      <c r="BR20" s="14"/>
      <c r="BS20" s="13"/>
      <c r="BU20" s="132"/>
    </row>
    <row r="21" spans="1:75" x14ac:dyDescent="0.3">
      <c r="A21" s="41"/>
      <c r="B21" s="41"/>
      <c r="C21" s="41" t="s">
        <v>646</v>
      </c>
      <c r="D21" s="41"/>
      <c r="E21" s="41"/>
      <c r="F21" s="41"/>
      <c r="G21" s="55"/>
      <c r="H21" s="56"/>
      <c r="I21" s="55"/>
      <c r="J21" s="56"/>
      <c r="K21" s="55"/>
      <c r="L21" s="56"/>
      <c r="M21" s="55"/>
      <c r="N21" s="56"/>
      <c r="O21" s="55"/>
      <c r="P21" s="56"/>
      <c r="Q21" s="55"/>
      <c r="R21" s="56"/>
      <c r="S21" s="55"/>
      <c r="T21" s="56"/>
      <c r="V21" s="55"/>
      <c r="X21" s="55"/>
      <c r="Z21" s="55"/>
      <c r="AD21" s="148"/>
      <c r="AE21" s="148"/>
      <c r="AF21" s="62"/>
      <c r="AG21" s="148"/>
      <c r="AH21" s="62"/>
      <c r="AJ21" s="62"/>
      <c r="AL21" s="66"/>
      <c r="AN21" s="57"/>
      <c r="AP21" s="13"/>
      <c r="AQ21" s="14"/>
      <c r="AR21" s="13"/>
      <c r="AS21" s="15"/>
      <c r="AT21" s="13"/>
      <c r="AU21" s="56"/>
      <c r="AV21" s="40"/>
      <c r="AW21" s="55"/>
      <c r="AX21" s="40"/>
      <c r="AY21" s="55"/>
      <c r="AZ21" s="40"/>
      <c r="BA21" s="55"/>
      <c r="BB21" s="40"/>
      <c r="BD21" s="40"/>
      <c r="BE21" s="62"/>
      <c r="BF21" s="62"/>
      <c r="BG21" s="62"/>
      <c r="BH21" s="62"/>
      <c r="BI21" s="62"/>
      <c r="BJ21" s="40"/>
      <c r="BK21" s="62"/>
      <c r="BL21" s="40"/>
      <c r="BM21" s="66"/>
      <c r="BN21" s="40"/>
      <c r="BO21" s="57"/>
      <c r="BP21" s="40"/>
      <c r="BQ21" s="132"/>
      <c r="BR21" s="14"/>
      <c r="BS21" s="13"/>
      <c r="BU21" s="132"/>
    </row>
    <row r="22" spans="1:75" x14ac:dyDescent="0.3">
      <c r="A22" s="41"/>
      <c r="B22" s="41"/>
      <c r="C22" s="41"/>
      <c r="D22" s="41" t="s">
        <v>362</v>
      </c>
      <c r="E22" s="41"/>
      <c r="F22" s="41"/>
      <c r="G22" s="55"/>
      <c r="H22" s="56"/>
      <c r="I22" s="55"/>
      <c r="J22" s="56"/>
      <c r="K22" s="55"/>
      <c r="L22" s="56"/>
      <c r="M22" s="55"/>
      <c r="N22" s="56"/>
      <c r="O22" s="55"/>
      <c r="P22" s="56"/>
      <c r="Q22" s="55"/>
      <c r="R22" s="56"/>
      <c r="S22" s="55"/>
      <c r="T22" s="56"/>
      <c r="U22" s="55"/>
      <c r="V22" s="55"/>
      <c r="W22" s="55"/>
      <c r="X22" s="55"/>
      <c r="Z22" s="55"/>
      <c r="AD22" s="148"/>
      <c r="AE22" s="148"/>
      <c r="AF22" s="62"/>
      <c r="AG22" s="148"/>
      <c r="AH22" s="62"/>
      <c r="AJ22" s="62"/>
      <c r="AL22" s="66"/>
      <c r="AN22" s="57"/>
      <c r="AP22" s="13"/>
      <c r="AQ22" s="14"/>
      <c r="AR22" s="13"/>
      <c r="AS22" s="15"/>
      <c r="AT22" s="13"/>
      <c r="AU22" s="56"/>
      <c r="AV22" s="55"/>
      <c r="AW22" s="55"/>
      <c r="AX22" s="55"/>
      <c r="AY22" s="55"/>
      <c r="AZ22" s="40"/>
      <c r="BA22" s="55"/>
      <c r="BB22" s="40"/>
      <c r="BD22" s="40"/>
      <c r="BE22" s="62"/>
      <c r="BF22" s="62"/>
      <c r="BG22" s="62"/>
      <c r="BH22" s="62"/>
      <c r="BI22" s="62"/>
      <c r="BJ22" s="40"/>
      <c r="BK22" s="62"/>
      <c r="BL22" s="40"/>
      <c r="BM22" s="66"/>
      <c r="BN22" s="40"/>
      <c r="BO22" s="57"/>
      <c r="BP22" s="40"/>
      <c r="BQ22" s="132"/>
      <c r="BR22" s="14"/>
      <c r="BS22" s="13"/>
      <c r="BU22" s="132"/>
    </row>
    <row r="23" spans="1:75" ht="14.25" customHeight="1" x14ac:dyDescent="0.3">
      <c r="A23" s="41"/>
      <c r="B23" s="41"/>
      <c r="C23" s="41"/>
      <c r="D23" s="41"/>
      <c r="E23" s="41" t="s">
        <v>648</v>
      </c>
      <c r="F23" s="41"/>
      <c r="G23" s="55">
        <v>2099</v>
      </c>
      <c r="H23" s="56"/>
      <c r="I23" s="55">
        <v>4800</v>
      </c>
      <c r="J23" s="56"/>
      <c r="K23" s="55">
        <v>2793.27</v>
      </c>
      <c r="L23" s="56"/>
      <c r="M23" s="55">
        <v>4800</v>
      </c>
      <c r="N23" s="56"/>
      <c r="O23" s="55">
        <v>4800</v>
      </c>
      <c r="P23" s="56"/>
      <c r="Q23" s="55">
        <v>4800</v>
      </c>
      <c r="R23" s="56"/>
      <c r="S23" s="55">
        <v>3506.06</v>
      </c>
      <c r="T23" s="56"/>
      <c r="V23" s="55">
        <v>4800</v>
      </c>
      <c r="X23" s="55">
        <v>2694</v>
      </c>
      <c r="Z23" s="55">
        <v>4800</v>
      </c>
      <c r="AB23" s="55">
        <v>5840</v>
      </c>
      <c r="AD23" s="60">
        <v>4800</v>
      </c>
      <c r="AE23" s="148"/>
      <c r="AF23" s="61">
        <v>4224.1499999999996</v>
      </c>
      <c r="AG23" s="148"/>
      <c r="AH23" s="60">
        <v>4800</v>
      </c>
      <c r="AJ23" s="60">
        <v>4800</v>
      </c>
      <c r="AL23" s="6" t="e">
        <f>#REF!</f>
        <v>#REF!</v>
      </c>
      <c r="AN23" s="8">
        <v>4800</v>
      </c>
      <c r="AP23" s="13">
        <f>'17-18'!B40</f>
        <v>4315.03</v>
      </c>
      <c r="AQ23" s="14"/>
      <c r="AR23" s="13">
        <f>AN23-AP23</f>
        <v>484.97000000000025</v>
      </c>
      <c r="AS23" s="15"/>
      <c r="AT23" s="13">
        <v>4459.01</v>
      </c>
      <c r="AU23" s="56"/>
      <c r="AV23" s="40"/>
      <c r="AW23" s="55">
        <v>4800</v>
      </c>
      <c r="AX23" s="40"/>
      <c r="AY23" s="55">
        <v>2694</v>
      </c>
      <c r="AZ23" s="40"/>
      <c r="BA23" s="55">
        <v>4800</v>
      </c>
      <c r="BB23" s="40"/>
      <c r="BC23" s="55">
        <v>5840</v>
      </c>
      <c r="BD23" s="40"/>
      <c r="BE23" s="60">
        <v>4800</v>
      </c>
      <c r="BF23" s="62"/>
      <c r="BG23" s="61">
        <v>4224.1499999999996</v>
      </c>
      <c r="BH23" s="62"/>
      <c r="BI23" s="60">
        <v>4800</v>
      </c>
      <c r="BJ23" s="40"/>
      <c r="BK23" s="60">
        <v>4800</v>
      </c>
      <c r="BL23" s="40"/>
      <c r="BM23" s="6" t="e">
        <f>#REF!</f>
        <v>#REF!</v>
      </c>
      <c r="BN23" s="40"/>
      <c r="BO23" s="8">
        <v>4800</v>
      </c>
      <c r="BP23" s="40"/>
      <c r="BQ23" s="132">
        <v>4500</v>
      </c>
      <c r="BR23" s="14"/>
      <c r="BS23" s="13">
        <v>1670.73</v>
      </c>
      <c r="BU23" s="132">
        <v>4500</v>
      </c>
    </row>
    <row r="24" spans="1:75" ht="14.25" customHeight="1" x14ac:dyDescent="0.3">
      <c r="A24" s="41"/>
      <c r="B24" s="41"/>
      <c r="C24" s="41"/>
      <c r="D24" s="41"/>
      <c r="E24" s="41" t="s">
        <v>835</v>
      </c>
      <c r="F24" s="41"/>
      <c r="G24" s="55"/>
      <c r="H24" s="56"/>
      <c r="I24" s="55"/>
      <c r="J24" s="56"/>
      <c r="K24" s="55"/>
      <c r="L24" s="56"/>
      <c r="M24" s="55"/>
      <c r="N24" s="56"/>
      <c r="O24" s="55"/>
      <c r="P24" s="56"/>
      <c r="Q24" s="55"/>
      <c r="R24" s="56"/>
      <c r="S24" s="55"/>
      <c r="T24" s="56"/>
      <c r="V24" s="55"/>
      <c r="X24" s="55"/>
      <c r="Z24" s="55"/>
      <c r="AB24" s="55"/>
      <c r="AD24" s="60"/>
      <c r="AE24" s="148"/>
      <c r="AF24" s="61"/>
      <c r="AG24" s="148"/>
      <c r="AH24" s="60"/>
      <c r="AJ24" s="60"/>
      <c r="AL24" s="6"/>
      <c r="AN24" s="8"/>
      <c r="AP24" s="13"/>
      <c r="AQ24" s="14"/>
      <c r="AR24" s="13"/>
      <c r="AS24" s="15"/>
      <c r="AT24" s="13"/>
      <c r="AU24" s="56"/>
      <c r="AV24" s="40"/>
      <c r="AW24" s="55"/>
      <c r="AX24" s="40"/>
      <c r="AY24" s="55"/>
      <c r="AZ24" s="40"/>
      <c r="BA24" s="55"/>
      <c r="BB24" s="40"/>
      <c r="BC24" s="55"/>
      <c r="BD24" s="40"/>
      <c r="BE24" s="60"/>
      <c r="BF24" s="62"/>
      <c r="BG24" s="61"/>
      <c r="BH24" s="62"/>
      <c r="BI24" s="60"/>
      <c r="BJ24" s="40"/>
      <c r="BK24" s="60"/>
      <c r="BL24" s="40"/>
      <c r="BM24" s="6"/>
      <c r="BN24" s="40"/>
      <c r="BO24" s="8"/>
      <c r="BP24" s="40"/>
      <c r="BQ24" s="132">
        <v>0</v>
      </c>
      <c r="BR24" s="14"/>
      <c r="BS24" s="13">
        <v>0</v>
      </c>
      <c r="BU24" s="132">
        <v>0</v>
      </c>
    </row>
    <row r="25" spans="1:75" ht="14.25" customHeight="1" x14ac:dyDescent="0.3">
      <c r="A25" s="41"/>
      <c r="B25" s="41"/>
      <c r="C25" s="41"/>
      <c r="D25" s="41"/>
      <c r="E25" s="41" t="s">
        <v>647</v>
      </c>
      <c r="F25" s="41"/>
      <c r="G25" s="55">
        <v>2295</v>
      </c>
      <c r="H25" s="56"/>
      <c r="I25" s="55">
        <v>20900</v>
      </c>
      <c r="J25" s="56"/>
      <c r="K25" s="55">
        <v>19286.009999999998</v>
      </c>
      <c r="L25" s="56"/>
      <c r="M25" s="55">
        <v>10800</v>
      </c>
      <c r="N25" s="56"/>
      <c r="O25" s="55">
        <f>2500+8300</f>
        <v>10800</v>
      </c>
      <c r="P25" s="56"/>
      <c r="Q25" s="55">
        <f>2500+8300+2500</f>
        <v>13300</v>
      </c>
      <c r="R25" s="56"/>
      <c r="S25" s="55">
        <v>11595.19</v>
      </c>
      <c r="T25" s="56"/>
      <c r="V25" s="55">
        <v>3500</v>
      </c>
      <c r="X25" s="55">
        <v>2998</v>
      </c>
      <c r="Z25" s="55">
        <v>2500</v>
      </c>
      <c r="AB25" s="55">
        <v>1622</v>
      </c>
      <c r="AD25" s="60">
        <v>2500</v>
      </c>
      <c r="AE25" s="148"/>
      <c r="AF25" s="61">
        <f>966.35</f>
        <v>966.35</v>
      </c>
      <c r="AG25" s="148"/>
      <c r="AH25" s="60">
        <v>12500</v>
      </c>
      <c r="AJ25" s="60">
        <v>12500</v>
      </c>
      <c r="AL25" s="6" t="e">
        <f>#REF!</f>
        <v>#REF!</v>
      </c>
      <c r="AN25" s="8">
        <v>2000</v>
      </c>
      <c r="AP25" s="13">
        <f>'17-18'!B39</f>
        <v>11890.5</v>
      </c>
      <c r="AQ25" s="14"/>
      <c r="AR25" s="13">
        <f>AN25-AP25</f>
        <v>-9890.5</v>
      </c>
      <c r="AS25" s="15"/>
      <c r="AT25" s="13">
        <v>2523</v>
      </c>
      <c r="AU25" s="56"/>
      <c r="AV25" s="40"/>
      <c r="AW25" s="55">
        <v>3500</v>
      </c>
      <c r="AX25" s="40"/>
      <c r="AY25" s="55">
        <v>2998</v>
      </c>
      <c r="AZ25" s="40"/>
      <c r="BA25" s="55">
        <v>2500</v>
      </c>
      <c r="BB25" s="40"/>
      <c r="BC25" s="55">
        <v>1622</v>
      </c>
      <c r="BD25" s="40"/>
      <c r="BE25" s="60">
        <v>2500</v>
      </c>
      <c r="BF25" s="62"/>
      <c r="BG25" s="61">
        <f>966.35</f>
        <v>966.35</v>
      </c>
      <c r="BH25" s="62"/>
      <c r="BI25" s="60">
        <v>12500</v>
      </c>
      <c r="BJ25" s="40"/>
      <c r="BK25" s="60">
        <v>12500</v>
      </c>
      <c r="BL25" s="40"/>
      <c r="BM25" s="6" t="e">
        <f>#REF!</f>
        <v>#REF!</v>
      </c>
      <c r="BN25" s="40"/>
      <c r="BO25" s="8">
        <v>2000</v>
      </c>
      <c r="BP25" s="40"/>
      <c r="BQ25" s="132">
        <v>5500</v>
      </c>
      <c r="BR25" s="14"/>
      <c r="BS25" s="13"/>
      <c r="BU25" s="132">
        <v>5500</v>
      </c>
    </row>
    <row r="26" spans="1:75" x14ac:dyDescent="0.3">
      <c r="A26" s="41"/>
      <c r="B26" s="41"/>
      <c r="C26" s="41"/>
      <c r="D26" s="70" t="s">
        <v>649</v>
      </c>
      <c r="E26" s="70"/>
      <c r="F26" s="70"/>
      <c r="G26" s="55"/>
      <c r="H26" s="56"/>
      <c r="I26" s="55"/>
      <c r="J26" s="56"/>
      <c r="K26" s="55"/>
      <c r="L26" s="56"/>
      <c r="M26" s="55"/>
      <c r="N26" s="56"/>
      <c r="O26" s="55"/>
      <c r="P26" s="56"/>
      <c r="Q26" s="55"/>
      <c r="R26" s="56"/>
      <c r="S26" s="55"/>
      <c r="T26" s="56"/>
      <c r="V26" s="55"/>
      <c r="X26" s="55"/>
      <c r="Z26" s="55">
        <f>SUM(Z25:Z25)</f>
        <v>2500</v>
      </c>
      <c r="AB26" s="79">
        <f>SUM(AB25:AB25)</f>
        <v>1622</v>
      </c>
      <c r="AD26" s="60">
        <f>SUM(AD25:AD25)</f>
        <v>2500</v>
      </c>
      <c r="AE26" s="148"/>
      <c r="AF26" s="80">
        <f>SUM(AF25:AF25)</f>
        <v>966.35</v>
      </c>
      <c r="AG26" s="148"/>
      <c r="AH26" s="81">
        <f>SUM(AH25:AH25)</f>
        <v>12500</v>
      </c>
      <c r="AJ26" s="81">
        <f>SUM(AJ25:AJ25)</f>
        <v>12500</v>
      </c>
      <c r="AL26" s="81" t="e">
        <f>SUM(AL25:AL25)</f>
        <v>#REF!</v>
      </c>
      <c r="AN26" s="10">
        <f>SUM(AN25:AN25)</f>
        <v>2000</v>
      </c>
      <c r="AP26" s="18">
        <f>SUM(AP25:AP25)</f>
        <v>11890.5</v>
      </c>
      <c r="AQ26" s="19"/>
      <c r="AR26" s="20">
        <f t="shared" ref="AR26:AR78" si="1">AN26-AP26</f>
        <v>-9890.5</v>
      </c>
      <c r="AS26" s="15"/>
      <c r="AT26" s="18">
        <v>6982.01</v>
      </c>
      <c r="AU26" s="56"/>
      <c r="AV26" s="40"/>
      <c r="AW26" s="55"/>
      <c r="AX26" s="40"/>
      <c r="AY26" s="55"/>
      <c r="AZ26" s="40"/>
      <c r="BA26" s="55">
        <f>SUM(BA25:BA25)</f>
        <v>2500</v>
      </c>
      <c r="BB26" s="40"/>
      <c r="BC26" s="79">
        <f>SUM(BC25:BC25)</f>
        <v>1622</v>
      </c>
      <c r="BD26" s="40"/>
      <c r="BE26" s="60">
        <f>SUM(BE25:BE25)</f>
        <v>2500</v>
      </c>
      <c r="BF26" s="62"/>
      <c r="BG26" s="80">
        <f>SUM(BG25:BG25)</f>
        <v>966.35</v>
      </c>
      <c r="BH26" s="62"/>
      <c r="BI26" s="81">
        <f>SUM(BI25:BI25)</f>
        <v>12500</v>
      </c>
      <c r="BJ26" s="40"/>
      <c r="BK26" s="81">
        <f>SUM(BK25:BK25)</f>
        <v>12500</v>
      </c>
      <c r="BL26" s="40"/>
      <c r="BM26" s="81" t="e">
        <f>SUM(BM25:BM25)</f>
        <v>#REF!</v>
      </c>
      <c r="BN26" s="40"/>
      <c r="BO26" s="10">
        <f>SUM(BO25:BO25)</f>
        <v>2000</v>
      </c>
      <c r="BP26" s="40"/>
      <c r="BQ26" s="126">
        <f>SUM(BQ23:BQ25)</f>
        <v>10000</v>
      </c>
      <c r="BR26" s="19"/>
      <c r="BS26" s="22">
        <f>SUM(BS23:BS25)</f>
        <v>1670.73</v>
      </c>
      <c r="BU26" s="126">
        <f>SUM(BU23:BU25)</f>
        <v>10000</v>
      </c>
    </row>
    <row r="27" spans="1:75" x14ac:dyDescent="0.3">
      <c r="A27" s="41"/>
      <c r="B27" s="41"/>
      <c r="C27" s="41"/>
      <c r="D27" s="41" t="s">
        <v>384</v>
      </c>
      <c r="E27" s="41"/>
      <c r="F27" s="41"/>
      <c r="G27" s="55"/>
      <c r="H27" s="56"/>
      <c r="I27" s="55"/>
      <c r="J27" s="56"/>
      <c r="K27" s="55"/>
      <c r="L27" s="56"/>
      <c r="M27" s="55"/>
      <c r="N27" s="56"/>
      <c r="O27" s="55"/>
      <c r="P27" s="56"/>
      <c r="Q27" s="55"/>
      <c r="R27" s="56"/>
      <c r="S27" s="55"/>
      <c r="T27" s="56"/>
      <c r="V27" s="55"/>
      <c r="X27" s="55"/>
      <c r="Z27" s="55"/>
      <c r="AD27" s="148"/>
      <c r="AE27" s="148"/>
      <c r="AF27" s="62"/>
      <c r="AG27" s="148"/>
      <c r="AH27" s="148"/>
      <c r="AJ27" s="148"/>
      <c r="AL27" s="66"/>
      <c r="AN27" s="8"/>
      <c r="AP27" s="13"/>
      <c r="AQ27" s="14"/>
      <c r="AR27" s="13"/>
      <c r="AS27" s="15"/>
      <c r="AT27" s="13"/>
      <c r="AU27" s="56"/>
      <c r="AV27" s="40"/>
      <c r="AW27" s="55"/>
      <c r="AX27" s="40"/>
      <c r="AY27" s="55"/>
      <c r="AZ27" s="40"/>
      <c r="BA27" s="55"/>
      <c r="BB27" s="40"/>
      <c r="BD27" s="40"/>
      <c r="BE27" s="62"/>
      <c r="BF27" s="62"/>
      <c r="BG27" s="62"/>
      <c r="BH27" s="62"/>
      <c r="BI27" s="62"/>
      <c r="BJ27" s="40"/>
      <c r="BK27" s="62"/>
      <c r="BL27" s="40"/>
      <c r="BM27" s="66"/>
      <c r="BN27" s="40"/>
      <c r="BO27" s="8"/>
      <c r="BP27" s="40"/>
      <c r="BQ27" s="132"/>
      <c r="BR27" s="14"/>
      <c r="BS27" s="16">
        <v>619.91</v>
      </c>
      <c r="BU27" s="132"/>
    </row>
    <row r="28" spans="1:75" x14ac:dyDescent="0.3">
      <c r="A28" s="41"/>
      <c r="B28" s="41"/>
      <c r="C28" s="41"/>
      <c r="D28" s="41"/>
      <c r="E28" s="41" t="s">
        <v>650</v>
      </c>
      <c r="F28" s="41"/>
      <c r="G28" s="55">
        <v>179</v>
      </c>
      <c r="H28" s="56"/>
      <c r="I28" s="55">
        <f>168+188</f>
        <v>356</v>
      </c>
      <c r="J28" s="56"/>
      <c r="K28" s="55">
        <v>356</v>
      </c>
      <c r="L28" s="56"/>
      <c r="M28" s="55">
        <v>200</v>
      </c>
      <c r="N28" s="56"/>
      <c r="O28" s="55">
        <v>200</v>
      </c>
      <c r="P28" s="56"/>
      <c r="Q28" s="55">
        <v>200</v>
      </c>
      <c r="R28" s="56"/>
      <c r="S28" s="55">
        <v>194</v>
      </c>
      <c r="T28" s="56"/>
      <c r="V28" s="55">
        <v>200</v>
      </c>
      <c r="X28" s="55">
        <v>226</v>
      </c>
      <c r="Z28" s="55">
        <v>200</v>
      </c>
      <c r="AB28" s="40">
        <v>226</v>
      </c>
      <c r="AD28" s="60">
        <v>200</v>
      </c>
      <c r="AE28" s="148"/>
      <c r="AF28" s="62">
        <v>441</v>
      </c>
      <c r="AG28" s="148"/>
      <c r="AH28" s="65">
        <v>250</v>
      </c>
      <c r="AJ28" s="65">
        <v>250</v>
      </c>
      <c r="AL28" s="66">
        <v>223</v>
      </c>
      <c r="AN28" s="8">
        <v>225</v>
      </c>
      <c r="AP28" s="13">
        <f>'17-18'!B43</f>
        <v>223</v>
      </c>
      <c r="AQ28" s="14"/>
      <c r="AR28" s="13">
        <f t="shared" si="1"/>
        <v>2</v>
      </c>
      <c r="AS28" s="15"/>
      <c r="AT28" s="13">
        <v>226</v>
      </c>
      <c r="AU28" s="56"/>
      <c r="AV28" s="40"/>
      <c r="AW28" s="55">
        <v>200</v>
      </c>
      <c r="AX28" s="40"/>
      <c r="AY28" s="55">
        <v>226</v>
      </c>
      <c r="AZ28" s="40"/>
      <c r="BA28" s="55">
        <v>200</v>
      </c>
      <c r="BB28" s="40"/>
      <c r="BC28" s="40">
        <v>226</v>
      </c>
      <c r="BD28" s="40"/>
      <c r="BE28" s="60">
        <v>200</v>
      </c>
      <c r="BF28" s="62"/>
      <c r="BG28" s="62">
        <v>441</v>
      </c>
      <c r="BH28" s="62"/>
      <c r="BI28" s="65">
        <v>250</v>
      </c>
      <c r="BJ28" s="40"/>
      <c r="BK28" s="65">
        <v>250</v>
      </c>
      <c r="BL28" s="40"/>
      <c r="BM28" s="66">
        <v>223</v>
      </c>
      <c r="BN28" s="40"/>
      <c r="BO28" s="8">
        <v>225</v>
      </c>
      <c r="BP28" s="40"/>
      <c r="BQ28" s="132">
        <v>224</v>
      </c>
      <c r="BR28" s="14"/>
      <c r="BS28" s="16">
        <v>0</v>
      </c>
      <c r="BU28" s="132">
        <v>224</v>
      </c>
    </row>
    <row r="29" spans="1:75" x14ac:dyDescent="0.3">
      <c r="A29" s="41"/>
      <c r="B29" s="41"/>
      <c r="C29" s="41"/>
      <c r="D29" s="41"/>
      <c r="E29" s="41" t="s">
        <v>651</v>
      </c>
      <c r="F29" s="41"/>
      <c r="G29" s="55">
        <v>878</v>
      </c>
      <c r="H29" s="56"/>
      <c r="I29" s="55">
        <v>700</v>
      </c>
      <c r="J29" s="56"/>
      <c r="K29" s="55">
        <v>634.11</v>
      </c>
      <c r="L29" s="56"/>
      <c r="M29" s="55">
        <v>500</v>
      </c>
      <c r="N29" s="56"/>
      <c r="O29" s="55">
        <v>500</v>
      </c>
      <c r="P29" s="56"/>
      <c r="Q29" s="55">
        <v>500</v>
      </c>
      <c r="R29" s="56"/>
      <c r="S29" s="55">
        <v>459.37</v>
      </c>
      <c r="T29" s="56"/>
      <c r="V29" s="55">
        <v>500</v>
      </c>
      <c r="X29" s="55">
        <v>184</v>
      </c>
      <c r="Z29" s="55">
        <v>500</v>
      </c>
      <c r="AB29" s="40">
        <v>315</v>
      </c>
      <c r="AD29" s="60">
        <v>500</v>
      </c>
      <c r="AE29" s="148"/>
      <c r="AF29" s="62">
        <v>166.49</v>
      </c>
      <c r="AG29" s="148"/>
      <c r="AH29" s="65">
        <v>400</v>
      </c>
      <c r="AJ29" s="65">
        <v>400</v>
      </c>
      <c r="AL29" s="66" t="e">
        <f>#REF!</f>
        <v>#REF!</v>
      </c>
      <c r="AN29" s="8">
        <v>300</v>
      </c>
      <c r="AP29" s="13">
        <f>'17-18'!B44</f>
        <v>195.07</v>
      </c>
      <c r="AQ29" s="14"/>
      <c r="AR29" s="13">
        <f t="shared" si="1"/>
        <v>104.93</v>
      </c>
      <c r="AS29" s="15"/>
      <c r="AT29" s="13">
        <v>378.86</v>
      </c>
      <c r="AU29" s="56"/>
      <c r="AV29" s="40"/>
      <c r="AW29" s="55">
        <v>500</v>
      </c>
      <c r="AX29" s="40"/>
      <c r="AY29" s="55">
        <v>184</v>
      </c>
      <c r="AZ29" s="40"/>
      <c r="BA29" s="55">
        <v>500</v>
      </c>
      <c r="BB29" s="40"/>
      <c r="BC29" s="40">
        <v>315</v>
      </c>
      <c r="BD29" s="40"/>
      <c r="BE29" s="60">
        <v>500</v>
      </c>
      <c r="BF29" s="62"/>
      <c r="BG29" s="62">
        <v>166.49</v>
      </c>
      <c r="BH29" s="62"/>
      <c r="BI29" s="65">
        <v>400</v>
      </c>
      <c r="BJ29" s="40"/>
      <c r="BK29" s="65">
        <v>400</v>
      </c>
      <c r="BL29" s="40"/>
      <c r="BM29" s="66" t="e">
        <f>#REF!</f>
        <v>#REF!</v>
      </c>
      <c r="BN29" s="40"/>
      <c r="BO29" s="8">
        <v>300</v>
      </c>
      <c r="BP29" s="40"/>
      <c r="BQ29" s="132">
        <v>300</v>
      </c>
      <c r="BR29" s="14"/>
      <c r="BS29" s="16">
        <v>285</v>
      </c>
      <c r="BU29" s="132">
        <v>300</v>
      </c>
    </row>
    <row r="30" spans="1:75" x14ac:dyDescent="0.3">
      <c r="A30" s="41"/>
      <c r="B30" s="41"/>
      <c r="C30" s="41"/>
      <c r="D30" s="122"/>
      <c r="E30" s="122" t="s">
        <v>829</v>
      </c>
      <c r="F30" s="122"/>
      <c r="G30" s="78">
        <v>0</v>
      </c>
      <c r="H30" s="123"/>
      <c r="I30" s="78">
        <v>1200</v>
      </c>
      <c r="J30" s="123"/>
      <c r="K30" s="78">
        <v>575</v>
      </c>
      <c r="L30" s="123"/>
      <c r="M30" s="78">
        <v>500</v>
      </c>
      <c r="N30" s="123"/>
      <c r="O30" s="78">
        <v>500</v>
      </c>
      <c r="P30" s="123"/>
      <c r="Q30" s="78">
        <v>500</v>
      </c>
      <c r="R30" s="123"/>
      <c r="S30" s="78">
        <v>425</v>
      </c>
      <c r="T30" s="123"/>
      <c r="V30" s="78">
        <v>500</v>
      </c>
      <c r="X30" s="78">
        <v>0</v>
      </c>
      <c r="Z30" s="78">
        <v>500</v>
      </c>
      <c r="AB30" s="40">
        <v>0</v>
      </c>
      <c r="AD30" s="62">
        <v>500</v>
      </c>
      <c r="AE30" s="148"/>
      <c r="AF30" s="66">
        <v>0</v>
      </c>
      <c r="AG30" s="148"/>
      <c r="AH30" s="62">
        <v>500</v>
      </c>
      <c r="AJ30" s="62">
        <v>500</v>
      </c>
      <c r="AL30" s="66">
        <v>0</v>
      </c>
      <c r="AN30" s="8">
        <v>500</v>
      </c>
      <c r="AP30" s="13"/>
      <c r="AQ30" s="14"/>
      <c r="AR30" s="13">
        <f t="shared" si="1"/>
        <v>500</v>
      </c>
      <c r="AS30" s="14"/>
      <c r="AT30" s="13">
        <v>0</v>
      </c>
      <c r="AU30" s="123"/>
      <c r="AV30" s="40"/>
      <c r="AW30" s="78">
        <v>500</v>
      </c>
      <c r="AX30" s="40"/>
      <c r="AY30" s="78">
        <v>0</v>
      </c>
      <c r="AZ30" s="40"/>
      <c r="BA30" s="78">
        <v>500</v>
      </c>
      <c r="BB30" s="40"/>
      <c r="BC30" s="40">
        <v>0</v>
      </c>
      <c r="BD30" s="40"/>
      <c r="BE30" s="62">
        <v>500</v>
      </c>
      <c r="BF30" s="62"/>
      <c r="BG30" s="66">
        <v>0</v>
      </c>
      <c r="BH30" s="62"/>
      <c r="BI30" s="62">
        <v>500</v>
      </c>
      <c r="BJ30" s="40"/>
      <c r="BK30" s="62">
        <v>500</v>
      </c>
      <c r="BL30" s="40"/>
      <c r="BM30" s="66">
        <v>0</v>
      </c>
      <c r="BN30" s="40"/>
      <c r="BO30" s="8">
        <v>500</v>
      </c>
      <c r="BP30" s="40"/>
      <c r="BQ30" s="132">
        <v>500</v>
      </c>
      <c r="BR30" s="14"/>
      <c r="BS30" s="16"/>
      <c r="BU30" s="132">
        <v>500</v>
      </c>
    </row>
    <row r="31" spans="1:75" x14ac:dyDescent="0.3">
      <c r="A31" s="41"/>
      <c r="B31" s="41"/>
      <c r="C31" s="41"/>
      <c r="D31" s="41"/>
      <c r="E31" s="41" t="s">
        <v>652</v>
      </c>
      <c r="F31" s="41"/>
      <c r="G31" s="55">
        <v>106</v>
      </c>
      <c r="H31" s="56"/>
      <c r="I31" s="55">
        <v>250</v>
      </c>
      <c r="J31" s="56"/>
      <c r="K31" s="55">
        <v>100</v>
      </c>
      <c r="L31" s="56"/>
      <c r="M31" s="55">
        <v>250</v>
      </c>
      <c r="N31" s="56"/>
      <c r="O31" s="55">
        <v>250</v>
      </c>
      <c r="P31" s="56"/>
      <c r="Q31" s="55">
        <v>250</v>
      </c>
      <c r="R31" s="56"/>
      <c r="S31" s="55">
        <v>119.64</v>
      </c>
      <c r="T31" s="56"/>
      <c r="V31" s="55">
        <v>250</v>
      </c>
      <c r="X31" s="55">
        <v>0</v>
      </c>
      <c r="Z31" s="55">
        <v>250</v>
      </c>
      <c r="AB31" s="40">
        <v>1234</v>
      </c>
      <c r="AD31" s="60">
        <v>250</v>
      </c>
      <c r="AE31" s="148"/>
      <c r="AF31" s="66">
        <v>0</v>
      </c>
      <c r="AG31" s="148"/>
      <c r="AH31" s="65">
        <v>250</v>
      </c>
      <c r="AJ31" s="65">
        <v>250</v>
      </c>
      <c r="AL31" s="66">
        <v>0</v>
      </c>
      <c r="AN31" s="8">
        <v>250</v>
      </c>
      <c r="AP31" s="13"/>
      <c r="AQ31" s="14"/>
      <c r="AR31" s="13">
        <f t="shared" si="1"/>
        <v>250</v>
      </c>
      <c r="AS31" s="15"/>
      <c r="AT31" s="13">
        <v>0</v>
      </c>
      <c r="AU31" s="56"/>
      <c r="AV31" s="40"/>
      <c r="AW31" s="55">
        <v>250</v>
      </c>
      <c r="AX31" s="40"/>
      <c r="AY31" s="55">
        <v>0</v>
      </c>
      <c r="AZ31" s="40"/>
      <c r="BA31" s="55">
        <v>250</v>
      </c>
      <c r="BB31" s="40"/>
      <c r="BC31" s="40">
        <v>1234</v>
      </c>
      <c r="BD31" s="40"/>
      <c r="BE31" s="60">
        <v>250</v>
      </c>
      <c r="BF31" s="62"/>
      <c r="BG31" s="66">
        <v>0</v>
      </c>
      <c r="BH31" s="62"/>
      <c r="BI31" s="65">
        <v>250</v>
      </c>
      <c r="BJ31" s="40"/>
      <c r="BK31" s="65">
        <v>250</v>
      </c>
      <c r="BL31" s="40"/>
      <c r="BM31" s="66">
        <v>0</v>
      </c>
      <c r="BN31" s="40"/>
      <c r="BO31" s="8">
        <v>250</v>
      </c>
      <c r="BP31" s="40"/>
      <c r="BQ31" s="132">
        <v>250</v>
      </c>
      <c r="BR31" s="14"/>
      <c r="BS31" s="16">
        <v>47</v>
      </c>
      <c r="BU31" s="132">
        <v>250</v>
      </c>
    </row>
    <row r="32" spans="1:75" ht="14.5" thickBot="1" x14ac:dyDescent="0.35">
      <c r="A32" s="41"/>
      <c r="B32" s="41"/>
      <c r="C32" s="41"/>
      <c r="D32" s="41"/>
      <c r="E32" s="41" t="s">
        <v>832</v>
      </c>
      <c r="F32" s="82"/>
      <c r="G32" s="68">
        <v>125</v>
      </c>
      <c r="H32" s="56"/>
      <c r="I32" s="68">
        <v>200</v>
      </c>
      <c r="J32" s="56"/>
      <c r="K32" s="68">
        <f>50+125.55</f>
        <v>175.55</v>
      </c>
      <c r="L32" s="56"/>
      <c r="M32" s="68">
        <v>200</v>
      </c>
      <c r="N32" s="56"/>
      <c r="O32" s="68">
        <v>200</v>
      </c>
      <c r="P32" s="56"/>
      <c r="Q32" s="68">
        <v>200</v>
      </c>
      <c r="R32" s="56"/>
      <c r="S32" s="68">
        <v>368.11</v>
      </c>
      <c r="T32" s="56"/>
      <c r="V32" s="68">
        <v>250</v>
      </c>
      <c r="X32" s="68">
        <f>334-70</f>
        <v>264</v>
      </c>
      <c r="Z32" s="68">
        <v>250</v>
      </c>
      <c r="AB32" s="68">
        <v>334.36</v>
      </c>
      <c r="AD32" s="69">
        <v>250</v>
      </c>
      <c r="AE32" s="148"/>
      <c r="AF32" s="83">
        <v>245</v>
      </c>
      <c r="AG32" s="148"/>
      <c r="AH32" s="84">
        <v>360</v>
      </c>
      <c r="AI32" s="40"/>
      <c r="AJ32" s="84">
        <v>360</v>
      </c>
      <c r="AL32" s="85" t="e">
        <f>#REF!</f>
        <v>#REF!</v>
      </c>
      <c r="AN32" s="9">
        <v>360</v>
      </c>
      <c r="AP32" s="17">
        <f>'17-18'!B45</f>
        <v>349.16</v>
      </c>
      <c r="AQ32" s="14"/>
      <c r="AR32" s="17">
        <f t="shared" si="1"/>
        <v>10.839999999999975</v>
      </c>
      <c r="AS32" s="15"/>
      <c r="AT32" s="17">
        <v>501.2</v>
      </c>
      <c r="AU32" s="56"/>
      <c r="AV32" s="40"/>
      <c r="AW32" s="68">
        <v>250</v>
      </c>
      <c r="AX32" s="40"/>
      <c r="AY32" s="68">
        <f>334-70</f>
        <v>264</v>
      </c>
      <c r="AZ32" s="40"/>
      <c r="BA32" s="68">
        <v>250</v>
      </c>
      <c r="BB32" s="40"/>
      <c r="BC32" s="68">
        <v>334.36</v>
      </c>
      <c r="BD32" s="40"/>
      <c r="BE32" s="69">
        <v>250</v>
      </c>
      <c r="BF32" s="62"/>
      <c r="BG32" s="83">
        <v>245</v>
      </c>
      <c r="BH32" s="62"/>
      <c r="BI32" s="84">
        <v>360</v>
      </c>
      <c r="BJ32" s="40"/>
      <c r="BK32" s="84">
        <v>360</v>
      </c>
      <c r="BL32" s="40"/>
      <c r="BM32" s="85" t="e">
        <f>#REF!</f>
        <v>#REF!</v>
      </c>
      <c r="BN32" s="40"/>
      <c r="BO32" s="9">
        <v>360</v>
      </c>
      <c r="BP32" s="40"/>
      <c r="BQ32" s="133">
        <v>1000</v>
      </c>
      <c r="BR32" s="14"/>
      <c r="BS32" s="21"/>
      <c r="BU32" s="133">
        <v>1000</v>
      </c>
    </row>
    <row r="33" spans="1:73" x14ac:dyDescent="0.3">
      <c r="A33" s="41"/>
      <c r="B33" s="41"/>
      <c r="C33" s="41"/>
      <c r="D33" s="70" t="s">
        <v>653</v>
      </c>
      <c r="E33" s="70"/>
      <c r="F33" s="70"/>
      <c r="G33" s="55">
        <f>ROUND(SUM(G27:G32),5)</f>
        <v>1288</v>
      </c>
      <c r="H33" s="56"/>
      <c r="I33" s="55">
        <f>ROUND(SUM(I27:I32),5)</f>
        <v>2706</v>
      </c>
      <c r="J33" s="56"/>
      <c r="K33" s="55">
        <f>ROUND(SUM(K27:K32),5)</f>
        <v>1840.66</v>
      </c>
      <c r="L33" s="56"/>
      <c r="M33" s="55">
        <f>ROUND(SUM(M27:M32),5)</f>
        <v>1650</v>
      </c>
      <c r="N33" s="56"/>
      <c r="O33" s="55">
        <f>ROUND(SUM(O27:O32),5)</f>
        <v>1650</v>
      </c>
      <c r="P33" s="56"/>
      <c r="Q33" s="55">
        <f>ROUND(SUM(Q27:Q32),5)</f>
        <v>1650</v>
      </c>
      <c r="R33" s="56"/>
      <c r="S33" s="55">
        <f>ROUND(SUM(S27:S32),5)</f>
        <v>1566.12</v>
      </c>
      <c r="T33" s="56"/>
      <c r="V33" s="55">
        <f>ROUND(SUM(V27:V32),5)</f>
        <v>1700</v>
      </c>
      <c r="X33" s="55">
        <f>SUM(X28:X32)</f>
        <v>674</v>
      </c>
      <c r="Z33" s="55">
        <f>SUM(Z28:Z32)</f>
        <v>1700</v>
      </c>
      <c r="AB33" s="86">
        <f>SUM(AB28:AB32)</f>
        <v>2109.36</v>
      </c>
      <c r="AD33" s="60">
        <f>SUM(AD28:AD32)</f>
        <v>1700</v>
      </c>
      <c r="AE33" s="148"/>
      <c r="AF33" s="80">
        <v>918.78</v>
      </c>
      <c r="AG33" s="148"/>
      <c r="AH33" s="80">
        <f>SUM(AH28:AH32)</f>
        <v>1760</v>
      </c>
      <c r="AJ33" s="80">
        <f>SUM(AJ28:AJ32)</f>
        <v>1760</v>
      </c>
      <c r="AL33" s="80" t="e">
        <f>SUM(AL28:AL32)</f>
        <v>#REF!</v>
      </c>
      <c r="AN33" s="10">
        <f>SUM(AN28:AN32)</f>
        <v>1635</v>
      </c>
      <c r="AP33" s="18">
        <f>SUM(AP28:AP32)</f>
        <v>767.23</v>
      </c>
      <c r="AQ33" s="19"/>
      <c r="AR33" s="20">
        <f t="shared" si="1"/>
        <v>867.77</v>
      </c>
      <c r="AS33" s="15"/>
      <c r="AT33" s="18">
        <v>1106.06</v>
      </c>
      <c r="AU33" s="56"/>
      <c r="AV33" s="40"/>
      <c r="AW33" s="55">
        <f>ROUND(SUM(AW27:AW32),5)</f>
        <v>1700</v>
      </c>
      <c r="AX33" s="40"/>
      <c r="AY33" s="55">
        <f>SUM(AY28:AY32)</f>
        <v>674</v>
      </c>
      <c r="AZ33" s="40"/>
      <c r="BA33" s="55">
        <f>SUM(BA28:BA32)</f>
        <v>1700</v>
      </c>
      <c r="BB33" s="40"/>
      <c r="BC33" s="86">
        <f>SUM(BC28:BC32)</f>
        <v>2109.36</v>
      </c>
      <c r="BD33" s="40"/>
      <c r="BE33" s="60">
        <f>SUM(BE28:BE32)</f>
        <v>1700</v>
      </c>
      <c r="BF33" s="62"/>
      <c r="BG33" s="80">
        <v>918.78</v>
      </c>
      <c r="BH33" s="62"/>
      <c r="BI33" s="80">
        <f>SUM(BI28:BI32)</f>
        <v>1760</v>
      </c>
      <c r="BJ33" s="40"/>
      <c r="BK33" s="80">
        <f>SUM(BK28:BK32)</f>
        <v>1760</v>
      </c>
      <c r="BL33" s="40"/>
      <c r="BM33" s="80" t="e">
        <f>SUM(BM28:BM32)</f>
        <v>#REF!</v>
      </c>
      <c r="BN33" s="40"/>
      <c r="BO33" s="10">
        <f>SUM(BO28:BO32)</f>
        <v>1635</v>
      </c>
      <c r="BP33" s="40"/>
      <c r="BQ33" s="126">
        <f>SUM(BQ28:BQ32)</f>
        <v>2274</v>
      </c>
      <c r="BR33" s="19"/>
      <c r="BS33" s="22">
        <f>SUM(BS27:BS32)</f>
        <v>951.91</v>
      </c>
      <c r="BU33" s="126">
        <f>SUM(BU28:BU32)</f>
        <v>2274</v>
      </c>
    </row>
    <row r="34" spans="1:73" x14ac:dyDescent="0.3">
      <c r="A34" s="41"/>
      <c r="B34" s="41"/>
      <c r="C34" s="41"/>
      <c r="D34" s="41" t="s">
        <v>401</v>
      </c>
      <c r="E34" s="41"/>
      <c r="F34" s="41"/>
      <c r="G34" s="55"/>
      <c r="H34" s="56"/>
      <c r="I34" s="55"/>
      <c r="J34" s="56"/>
      <c r="K34" s="55"/>
      <c r="L34" s="56"/>
      <c r="M34" s="55"/>
      <c r="N34" s="56"/>
      <c r="O34" s="55"/>
      <c r="P34" s="56"/>
      <c r="Q34" s="55"/>
      <c r="R34" s="56"/>
      <c r="S34" s="55"/>
      <c r="T34" s="56"/>
      <c r="V34" s="55"/>
      <c r="X34" s="55"/>
      <c r="Z34" s="55"/>
      <c r="AD34" s="148"/>
      <c r="AE34" s="148"/>
      <c r="AF34" s="62"/>
      <c r="AG34" s="148"/>
      <c r="AH34" s="62"/>
      <c r="AJ34" s="62"/>
      <c r="AL34" s="66"/>
      <c r="AN34" s="8"/>
      <c r="AP34" s="13"/>
      <c r="AQ34" s="14"/>
      <c r="AR34" s="13"/>
      <c r="AS34" s="15"/>
      <c r="AT34" s="13"/>
      <c r="AU34" s="56"/>
      <c r="AV34" s="40"/>
      <c r="AW34" s="55"/>
      <c r="AX34" s="40"/>
      <c r="AY34" s="55"/>
      <c r="AZ34" s="40"/>
      <c r="BA34" s="55"/>
      <c r="BB34" s="40"/>
      <c r="BD34" s="40"/>
      <c r="BE34" s="62"/>
      <c r="BF34" s="62"/>
      <c r="BG34" s="62"/>
      <c r="BH34" s="62"/>
      <c r="BI34" s="62"/>
      <c r="BJ34" s="40"/>
      <c r="BK34" s="62"/>
      <c r="BL34" s="40"/>
      <c r="BM34" s="66"/>
      <c r="BN34" s="40"/>
      <c r="BO34" s="8"/>
      <c r="BP34" s="40"/>
      <c r="BQ34" s="132"/>
      <c r="BR34" s="14"/>
      <c r="BS34" s="16">
        <v>3915</v>
      </c>
      <c r="BU34" s="132"/>
    </row>
    <row r="35" spans="1:73" x14ac:dyDescent="0.3">
      <c r="A35" s="41"/>
      <c r="B35" s="41"/>
      <c r="C35" s="41"/>
      <c r="D35" s="41"/>
      <c r="E35" s="41" t="s">
        <v>654</v>
      </c>
      <c r="F35" s="41"/>
      <c r="G35" s="55">
        <v>1940</v>
      </c>
      <c r="H35" s="56"/>
      <c r="I35" s="55">
        <v>2800</v>
      </c>
      <c r="J35" s="56"/>
      <c r="K35" s="55">
        <v>3095</v>
      </c>
      <c r="L35" s="56"/>
      <c r="M35" s="55">
        <v>3300</v>
      </c>
      <c r="N35" s="56"/>
      <c r="O35" s="55">
        <v>3300</v>
      </c>
      <c r="P35" s="56"/>
      <c r="Q35" s="55">
        <v>1940</v>
      </c>
      <c r="R35" s="55"/>
      <c r="S35" s="55">
        <v>1940</v>
      </c>
      <c r="T35" s="55"/>
      <c r="V35" s="55">
        <v>2600</v>
      </c>
      <c r="X35" s="55">
        <f>1000+5732-2388</f>
        <v>4344</v>
      </c>
      <c r="Z35" s="55">
        <v>2600</v>
      </c>
      <c r="AB35" s="66">
        <v>3994.67</v>
      </c>
      <c r="AD35" s="60">
        <v>2600</v>
      </c>
      <c r="AE35" s="148"/>
      <c r="AF35" s="62">
        <v>660</v>
      </c>
      <c r="AG35" s="148"/>
      <c r="AH35" s="60">
        <v>2600</v>
      </c>
      <c r="AJ35" s="60">
        <v>2600</v>
      </c>
      <c r="AL35" s="6" t="e">
        <f>#REF!</f>
        <v>#REF!</v>
      </c>
      <c r="AN35" s="8">
        <v>2600</v>
      </c>
      <c r="AP35" s="13">
        <f>'17-18'!B48</f>
        <v>2449</v>
      </c>
      <c r="AQ35" s="14"/>
      <c r="AR35" s="13">
        <f t="shared" si="1"/>
        <v>151</v>
      </c>
      <c r="AS35" s="15"/>
      <c r="AT35" s="13">
        <v>765</v>
      </c>
      <c r="AU35" s="55"/>
      <c r="AV35" s="40"/>
      <c r="AW35" s="55">
        <v>2600</v>
      </c>
      <c r="AX35" s="40"/>
      <c r="AY35" s="55">
        <f>1000+5732-2388</f>
        <v>4344</v>
      </c>
      <c r="AZ35" s="40"/>
      <c r="BA35" s="55">
        <v>2600</v>
      </c>
      <c r="BB35" s="40"/>
      <c r="BC35" s="66">
        <v>3994.67</v>
      </c>
      <c r="BD35" s="40"/>
      <c r="BE35" s="60">
        <v>2600</v>
      </c>
      <c r="BF35" s="62"/>
      <c r="BG35" s="62">
        <v>660</v>
      </c>
      <c r="BH35" s="62"/>
      <c r="BI35" s="60">
        <v>2600</v>
      </c>
      <c r="BJ35" s="40"/>
      <c r="BK35" s="60">
        <v>2600</v>
      </c>
      <c r="BL35" s="40"/>
      <c r="BM35" s="6" t="e">
        <f>#REF!</f>
        <v>#REF!</v>
      </c>
      <c r="BN35" s="40"/>
      <c r="BO35" s="8">
        <v>2600</v>
      </c>
      <c r="BP35" s="40"/>
      <c r="BQ35" s="132">
        <v>2000</v>
      </c>
      <c r="BR35" s="14"/>
      <c r="BS35" s="16"/>
      <c r="BU35" s="132">
        <v>4000</v>
      </c>
    </row>
    <row r="36" spans="1:73" ht="14.5" thickBot="1" x14ac:dyDescent="0.35">
      <c r="A36" s="41"/>
      <c r="B36" s="41"/>
      <c r="C36" s="41"/>
      <c r="D36" s="41"/>
      <c r="E36" s="41" t="s">
        <v>655</v>
      </c>
      <c r="F36" s="41"/>
      <c r="G36" s="55">
        <v>2209</v>
      </c>
      <c r="H36" s="56"/>
      <c r="I36" s="55">
        <v>2200</v>
      </c>
      <c r="J36" s="56"/>
      <c r="K36" s="55">
        <v>2215</v>
      </c>
      <c r="L36" s="56"/>
      <c r="M36" s="55">
        <v>2500</v>
      </c>
      <c r="N36" s="56"/>
      <c r="O36" s="55">
        <v>2500</v>
      </c>
      <c r="P36" s="56"/>
      <c r="Q36" s="68">
        <v>2500</v>
      </c>
      <c r="R36" s="56"/>
      <c r="S36" s="68">
        <v>2669</v>
      </c>
      <c r="T36" s="56"/>
      <c r="V36" s="68">
        <v>3200</v>
      </c>
      <c r="X36" s="68">
        <v>1327</v>
      </c>
      <c r="Z36" s="55">
        <v>3500</v>
      </c>
      <c r="AB36" s="66">
        <v>1652</v>
      </c>
      <c r="AD36" s="60">
        <v>3200</v>
      </c>
      <c r="AE36" s="148"/>
      <c r="AF36" s="66">
        <v>0</v>
      </c>
      <c r="AG36" s="148"/>
      <c r="AH36" s="60">
        <v>3500</v>
      </c>
      <c r="AJ36" s="60">
        <v>3500</v>
      </c>
      <c r="AL36" s="6" t="e">
        <f>#REF!</f>
        <v>#REF!</v>
      </c>
      <c r="AN36" s="8">
        <v>3200</v>
      </c>
      <c r="AP36" s="13">
        <f>'17-18'!B50</f>
        <v>1187.4100000000001</v>
      </c>
      <c r="AQ36" s="14"/>
      <c r="AR36" s="13">
        <f t="shared" si="1"/>
        <v>2012.59</v>
      </c>
      <c r="AS36" s="15"/>
      <c r="AT36" s="13">
        <v>1188.67</v>
      </c>
      <c r="AU36" s="56"/>
      <c r="AV36" s="40"/>
      <c r="AW36" s="68">
        <v>3200</v>
      </c>
      <c r="AX36" s="40"/>
      <c r="AY36" s="68">
        <v>1327</v>
      </c>
      <c r="AZ36" s="40"/>
      <c r="BA36" s="55">
        <v>3500</v>
      </c>
      <c r="BB36" s="40"/>
      <c r="BC36" s="66">
        <v>1652</v>
      </c>
      <c r="BD36" s="40"/>
      <c r="BE36" s="60">
        <v>3200</v>
      </c>
      <c r="BF36" s="62"/>
      <c r="BG36" s="66">
        <v>0</v>
      </c>
      <c r="BH36" s="62"/>
      <c r="BI36" s="60">
        <v>3500</v>
      </c>
      <c r="BJ36" s="40"/>
      <c r="BK36" s="60">
        <v>3500</v>
      </c>
      <c r="BL36" s="40"/>
      <c r="BM36" s="6" t="e">
        <f>#REF!</f>
        <v>#REF!</v>
      </c>
      <c r="BN36" s="40"/>
      <c r="BO36" s="8">
        <v>3200</v>
      </c>
      <c r="BP36" s="40"/>
      <c r="BQ36" s="132">
        <v>1500</v>
      </c>
      <c r="BR36" s="14"/>
      <c r="BS36" s="160" t="s">
        <v>836</v>
      </c>
      <c r="BU36" s="132"/>
    </row>
    <row r="37" spans="1:73" ht="14.5" thickBot="1" x14ac:dyDescent="0.35">
      <c r="A37" s="41"/>
      <c r="B37" s="41"/>
      <c r="C37" s="41"/>
      <c r="D37" s="41"/>
      <c r="E37" s="41" t="s">
        <v>656</v>
      </c>
      <c r="F37" s="41"/>
      <c r="G37" s="68">
        <v>50</v>
      </c>
      <c r="H37" s="56"/>
      <c r="I37" s="68">
        <v>0</v>
      </c>
      <c r="J37" s="56"/>
      <c r="K37" s="68">
        <v>0</v>
      </c>
      <c r="L37" s="56"/>
      <c r="M37" s="68">
        <v>0</v>
      </c>
      <c r="N37" s="56"/>
      <c r="O37" s="68">
        <v>0</v>
      </c>
      <c r="P37" s="56"/>
      <c r="Q37" s="68">
        <v>0</v>
      </c>
      <c r="R37" s="56"/>
      <c r="S37" s="68">
        <v>0</v>
      </c>
      <c r="T37" s="56"/>
      <c r="V37" s="68">
        <v>0</v>
      </c>
      <c r="X37" s="68"/>
      <c r="Z37" s="87">
        <v>0</v>
      </c>
      <c r="AB37" s="87">
        <v>0</v>
      </c>
      <c r="AD37" s="88">
        <v>0</v>
      </c>
      <c r="AE37" s="148"/>
      <c r="AF37" s="89">
        <f>4592.73</f>
        <v>4592.7299999999996</v>
      </c>
      <c r="AG37" s="148"/>
      <c r="AH37" s="88">
        <v>0</v>
      </c>
      <c r="AJ37" s="88">
        <v>0</v>
      </c>
      <c r="AL37" s="85" t="e">
        <f>#REF!</f>
        <v>#REF!</v>
      </c>
      <c r="AN37" s="9">
        <v>300</v>
      </c>
      <c r="AP37" s="17">
        <f>'17-18'!B49</f>
        <v>153.01</v>
      </c>
      <c r="AQ37" s="14"/>
      <c r="AR37" s="17">
        <f t="shared" si="1"/>
        <v>146.99</v>
      </c>
      <c r="AS37" s="15"/>
      <c r="AT37" s="17">
        <v>208.41</v>
      </c>
      <c r="AU37" s="56"/>
      <c r="AV37" s="40"/>
      <c r="AW37" s="68">
        <v>0</v>
      </c>
      <c r="AX37" s="40"/>
      <c r="AY37" s="68"/>
      <c r="AZ37" s="40"/>
      <c r="BA37" s="87">
        <v>0</v>
      </c>
      <c r="BB37" s="40"/>
      <c r="BC37" s="87">
        <v>0</v>
      </c>
      <c r="BD37" s="40"/>
      <c r="BE37" s="88">
        <v>0</v>
      </c>
      <c r="BF37" s="62"/>
      <c r="BG37" s="89">
        <f>4592.73</f>
        <v>4592.7299999999996</v>
      </c>
      <c r="BH37" s="62"/>
      <c r="BI37" s="88">
        <v>0</v>
      </c>
      <c r="BJ37" s="40"/>
      <c r="BK37" s="88">
        <v>0</v>
      </c>
      <c r="BL37" s="40"/>
      <c r="BM37" s="85" t="e">
        <f>#REF!</f>
        <v>#REF!</v>
      </c>
      <c r="BN37" s="40"/>
      <c r="BO37" s="9">
        <v>300</v>
      </c>
      <c r="BP37" s="40"/>
      <c r="BQ37" s="133">
        <v>500</v>
      </c>
      <c r="BR37" s="14"/>
      <c r="BS37" s="161" t="s">
        <v>836</v>
      </c>
      <c r="BU37" s="133">
        <v>500</v>
      </c>
    </row>
    <row r="38" spans="1:73" x14ac:dyDescent="0.3">
      <c r="A38" s="41"/>
      <c r="B38" s="41"/>
      <c r="C38" s="41"/>
      <c r="D38" s="70" t="s">
        <v>657</v>
      </c>
      <c r="E38" s="70"/>
      <c r="F38" s="70"/>
      <c r="G38" s="55">
        <f>ROUND(SUM(G34:G37),5)</f>
        <v>4199</v>
      </c>
      <c r="H38" s="56"/>
      <c r="I38" s="55">
        <f>ROUND(SUM(I34:I37),5)</f>
        <v>5000</v>
      </c>
      <c r="J38" s="56"/>
      <c r="K38" s="55">
        <f>ROUND(SUM(K34:K37),5)</f>
        <v>5310</v>
      </c>
      <c r="L38" s="56"/>
      <c r="M38" s="55">
        <f>ROUND(SUM(M34:M37),5)</f>
        <v>5800</v>
      </c>
      <c r="N38" s="56"/>
      <c r="O38" s="55">
        <f>ROUND(SUM(O34:O37),5)</f>
        <v>5800</v>
      </c>
      <c r="P38" s="56"/>
      <c r="Q38" s="55">
        <f>ROUND(SUM(Q34:Q37),5)</f>
        <v>4440</v>
      </c>
      <c r="R38" s="56"/>
      <c r="S38" s="55">
        <f>ROUND(SUM(S34:S37),5)</f>
        <v>4609</v>
      </c>
      <c r="T38" s="56"/>
      <c r="V38" s="55">
        <f>ROUND(SUM(V34:V37),5)</f>
        <v>5800</v>
      </c>
      <c r="X38" s="55">
        <f>SUM(X35:X37)</f>
        <v>5671</v>
      </c>
      <c r="Z38" s="55">
        <f>SUM(Z35:Z37)</f>
        <v>6100</v>
      </c>
      <c r="AB38" s="86">
        <f>SUM(AB35:AB37)</f>
        <v>5646.67</v>
      </c>
      <c r="AD38" s="60">
        <f>SUM(AD35:AD37)</f>
        <v>5800</v>
      </c>
      <c r="AE38" s="148"/>
      <c r="AF38" s="90">
        <f>SUM(AF35:AF37)</f>
        <v>5252.73</v>
      </c>
      <c r="AG38" s="148"/>
      <c r="AH38" s="80">
        <f>SUM(AH35:AH37)</f>
        <v>6100</v>
      </c>
      <c r="AJ38" s="80">
        <f>SUM(AJ35:AJ37)</f>
        <v>6100</v>
      </c>
      <c r="AL38" s="7" t="e">
        <f>SUM(AL35:AL37)</f>
        <v>#REF!</v>
      </c>
      <c r="AN38" s="10">
        <f>SUM(AN35:AN37)</f>
        <v>6100</v>
      </c>
      <c r="AP38" s="18">
        <f>SUM(AP35:AP37)</f>
        <v>3789.42</v>
      </c>
      <c r="AQ38" s="19"/>
      <c r="AR38" s="20">
        <f t="shared" si="1"/>
        <v>2310.58</v>
      </c>
      <c r="AS38" s="15"/>
      <c r="AT38" s="18">
        <v>2162.08</v>
      </c>
      <c r="AU38" s="56"/>
      <c r="AV38" s="40"/>
      <c r="AW38" s="55">
        <f>ROUND(SUM(AW34:AW37),5)</f>
        <v>5800</v>
      </c>
      <c r="AX38" s="40"/>
      <c r="AY38" s="55">
        <f>SUM(AY35:AY37)</f>
        <v>5671</v>
      </c>
      <c r="AZ38" s="40"/>
      <c r="BA38" s="55">
        <f>SUM(BA35:BA37)</f>
        <v>6100</v>
      </c>
      <c r="BB38" s="40"/>
      <c r="BC38" s="86">
        <f>SUM(BC35:BC37)</f>
        <v>5646.67</v>
      </c>
      <c r="BD38" s="40"/>
      <c r="BE38" s="60">
        <f>SUM(BE35:BE37)</f>
        <v>5800</v>
      </c>
      <c r="BF38" s="62"/>
      <c r="BG38" s="90">
        <f>SUM(BG35:BG37)</f>
        <v>5252.73</v>
      </c>
      <c r="BH38" s="62"/>
      <c r="BI38" s="80">
        <f>SUM(BI35:BI37)</f>
        <v>6100</v>
      </c>
      <c r="BJ38" s="40"/>
      <c r="BK38" s="80">
        <f>SUM(BK35:BK37)</f>
        <v>6100</v>
      </c>
      <c r="BL38" s="40"/>
      <c r="BM38" s="7" t="e">
        <f>SUM(BM35:BM37)</f>
        <v>#REF!</v>
      </c>
      <c r="BN38" s="40"/>
      <c r="BO38" s="10">
        <f>SUM(BO35:BO37)</f>
        <v>6100</v>
      </c>
      <c r="BP38" s="40"/>
      <c r="BQ38" s="126">
        <f>SUM(BQ35:BQ37)</f>
        <v>4000</v>
      </c>
      <c r="BR38" s="19"/>
      <c r="BS38" s="22">
        <f>SUM(BS34:BS37)</f>
        <v>3915</v>
      </c>
      <c r="BU38" s="126">
        <f>SUM(BU35:BU37)</f>
        <v>4500</v>
      </c>
    </row>
    <row r="39" spans="1:73" x14ac:dyDescent="0.3">
      <c r="A39" s="41"/>
      <c r="B39" s="41"/>
      <c r="C39" s="41"/>
      <c r="D39" s="41" t="s">
        <v>439</v>
      </c>
      <c r="E39" s="41"/>
      <c r="F39" s="41"/>
      <c r="G39" s="55"/>
      <c r="H39" s="56"/>
      <c r="I39" s="55"/>
      <c r="J39" s="56"/>
      <c r="K39" s="55"/>
      <c r="L39" s="56"/>
      <c r="M39" s="55"/>
      <c r="N39" s="56"/>
      <c r="O39" s="55"/>
      <c r="P39" s="56"/>
      <c r="Q39" s="55"/>
      <c r="R39" s="56"/>
      <c r="S39" s="55"/>
      <c r="T39" s="56"/>
      <c r="V39" s="55"/>
      <c r="X39" s="55"/>
      <c r="Z39" s="55"/>
      <c r="AB39" s="66"/>
      <c r="AD39" s="148"/>
      <c r="AE39" s="148"/>
      <c r="AF39" s="62"/>
      <c r="AG39" s="148"/>
      <c r="AH39" s="62"/>
      <c r="AJ39" s="62"/>
      <c r="AL39" s="66"/>
      <c r="AN39" s="8"/>
      <c r="AP39" s="13"/>
      <c r="AQ39" s="14"/>
      <c r="AR39" s="13"/>
      <c r="AS39" s="15"/>
      <c r="AT39" s="13"/>
      <c r="AU39" s="56"/>
      <c r="AV39" s="40"/>
      <c r="AW39" s="55"/>
      <c r="AX39" s="40"/>
      <c r="AY39" s="55"/>
      <c r="AZ39" s="40"/>
      <c r="BA39" s="55"/>
      <c r="BB39" s="40"/>
      <c r="BC39" s="66"/>
      <c r="BD39" s="40"/>
      <c r="BE39" s="62"/>
      <c r="BF39" s="62"/>
      <c r="BG39" s="62"/>
      <c r="BH39" s="62"/>
      <c r="BI39" s="62"/>
      <c r="BJ39" s="40"/>
      <c r="BK39" s="62"/>
      <c r="BL39" s="40"/>
      <c r="BM39" s="66"/>
      <c r="BN39" s="40"/>
      <c r="BO39" s="8"/>
      <c r="BP39" s="40"/>
      <c r="BQ39" s="132"/>
      <c r="BR39" s="14"/>
      <c r="BS39" s="16">
        <v>818.46</v>
      </c>
      <c r="BU39" s="132"/>
    </row>
    <row r="40" spans="1:73" x14ac:dyDescent="0.3">
      <c r="A40" s="41"/>
      <c r="B40" s="41"/>
      <c r="C40" s="41"/>
      <c r="D40" s="41"/>
      <c r="E40" s="122" t="s">
        <v>658</v>
      </c>
      <c r="F40" s="122"/>
      <c r="G40" s="78">
        <v>-167</v>
      </c>
      <c r="H40" s="123"/>
      <c r="I40" s="78">
        <v>100</v>
      </c>
      <c r="J40" s="123"/>
      <c r="K40" s="78">
        <v>-223.45</v>
      </c>
      <c r="L40" s="123"/>
      <c r="M40" s="78">
        <v>0</v>
      </c>
      <c r="N40" s="123"/>
      <c r="O40" s="78">
        <v>0</v>
      </c>
      <c r="P40" s="123"/>
      <c r="Q40" s="78">
        <v>0</v>
      </c>
      <c r="R40" s="123"/>
      <c r="S40" s="78">
        <v>-168.05</v>
      </c>
      <c r="T40" s="123"/>
      <c r="V40" s="78">
        <v>0</v>
      </c>
      <c r="X40" s="78">
        <v>0</v>
      </c>
      <c r="Z40" s="78">
        <v>0</v>
      </c>
      <c r="AB40" s="66">
        <v>0</v>
      </c>
      <c r="AD40" s="66">
        <v>0</v>
      </c>
      <c r="AE40" s="148"/>
      <c r="AF40" s="66">
        <v>0</v>
      </c>
      <c r="AG40" s="148"/>
      <c r="AH40" s="62">
        <v>200</v>
      </c>
      <c r="AJ40" s="62">
        <v>200</v>
      </c>
      <c r="AL40" s="66" t="e">
        <f>#REF!</f>
        <v>#REF!</v>
      </c>
      <c r="AN40" s="8">
        <v>100</v>
      </c>
      <c r="AP40" s="13">
        <f>'17-18'!B62</f>
        <v>67.5</v>
      </c>
      <c r="AQ40" s="14"/>
      <c r="AR40" s="13">
        <f t="shared" si="1"/>
        <v>32.5</v>
      </c>
      <c r="AS40" s="14"/>
      <c r="AT40" s="13">
        <v>-61.4</v>
      </c>
      <c r="AU40" s="123"/>
      <c r="AV40" s="40"/>
      <c r="AW40" s="78">
        <v>0</v>
      </c>
      <c r="AX40" s="40"/>
      <c r="AY40" s="78">
        <v>0</v>
      </c>
      <c r="AZ40" s="40"/>
      <c r="BA40" s="78">
        <v>0</v>
      </c>
      <c r="BB40" s="40"/>
      <c r="BC40" s="66">
        <v>0</v>
      </c>
      <c r="BD40" s="40"/>
      <c r="BE40" s="66">
        <v>0</v>
      </c>
      <c r="BF40" s="62"/>
      <c r="BG40" s="66">
        <v>0</v>
      </c>
      <c r="BH40" s="62"/>
      <c r="BI40" s="62">
        <v>200</v>
      </c>
      <c r="BJ40" s="40"/>
      <c r="BK40" s="62">
        <v>200</v>
      </c>
      <c r="BL40" s="40"/>
      <c r="BM40" s="66" t="e">
        <f>#REF!</f>
        <v>#REF!</v>
      </c>
      <c r="BN40" s="40"/>
      <c r="BO40" s="8">
        <v>100</v>
      </c>
      <c r="BP40" s="40"/>
      <c r="BQ40" s="132">
        <v>750</v>
      </c>
      <c r="BR40" s="14"/>
      <c r="BS40" s="16">
        <v>1697.48</v>
      </c>
      <c r="BU40" s="132">
        <v>1500</v>
      </c>
    </row>
    <row r="41" spans="1:73" x14ac:dyDescent="0.3">
      <c r="A41" s="41"/>
      <c r="B41" s="41"/>
      <c r="C41" s="41"/>
      <c r="D41" s="41"/>
      <c r="E41" s="122" t="s">
        <v>659</v>
      </c>
      <c r="F41" s="122"/>
      <c r="G41" s="78">
        <v>127</v>
      </c>
      <c r="H41" s="123"/>
      <c r="I41" s="78">
        <v>1000</v>
      </c>
      <c r="J41" s="123"/>
      <c r="K41" s="78">
        <v>812.18</v>
      </c>
      <c r="L41" s="123"/>
      <c r="M41" s="78">
        <v>600</v>
      </c>
      <c r="N41" s="123"/>
      <c r="O41" s="78">
        <v>600</v>
      </c>
      <c r="P41" s="123"/>
      <c r="Q41" s="78">
        <v>600</v>
      </c>
      <c r="R41" s="123"/>
      <c r="S41" s="78">
        <v>-1625.4</v>
      </c>
      <c r="T41" s="123"/>
      <c r="V41" s="78">
        <v>600</v>
      </c>
      <c r="X41" s="78">
        <v>-1888</v>
      </c>
      <c r="Z41" s="78">
        <v>600</v>
      </c>
      <c r="AB41" s="66">
        <v>1803.7</v>
      </c>
      <c r="AD41" s="62">
        <v>600</v>
      </c>
      <c r="AE41" s="148"/>
      <c r="AF41" s="61">
        <v>1929.65</v>
      </c>
      <c r="AG41" s="148"/>
      <c r="AH41" s="62">
        <v>600</v>
      </c>
      <c r="AI41" s="40"/>
      <c r="AJ41" s="62">
        <v>600</v>
      </c>
      <c r="AL41" s="6" t="e">
        <f>#REF!</f>
        <v>#REF!</v>
      </c>
      <c r="AN41" s="8">
        <v>1000</v>
      </c>
      <c r="AP41" s="13">
        <f>'17-18'!B66</f>
        <v>-4797.3899999999994</v>
      </c>
      <c r="AQ41" s="14"/>
      <c r="AR41" s="13">
        <f t="shared" si="1"/>
        <v>5797.3899999999994</v>
      </c>
      <c r="AS41" s="14"/>
      <c r="AT41" s="13">
        <v>-847.75</v>
      </c>
      <c r="AU41" s="123"/>
      <c r="AV41" s="40"/>
      <c r="AW41" s="78">
        <v>600</v>
      </c>
      <c r="AX41" s="40"/>
      <c r="AY41" s="78">
        <v>-1888</v>
      </c>
      <c r="AZ41" s="40"/>
      <c r="BA41" s="78">
        <v>600</v>
      </c>
      <c r="BB41" s="40"/>
      <c r="BC41" s="66">
        <v>1803.7</v>
      </c>
      <c r="BD41" s="40"/>
      <c r="BE41" s="62">
        <v>600</v>
      </c>
      <c r="BF41" s="62"/>
      <c r="BG41" s="61">
        <v>1929.65</v>
      </c>
      <c r="BH41" s="62"/>
      <c r="BI41" s="62">
        <v>600</v>
      </c>
      <c r="BJ41" s="40"/>
      <c r="BK41" s="62">
        <v>600</v>
      </c>
      <c r="BL41" s="40"/>
      <c r="BM41" s="6" t="e">
        <f>#REF!</f>
        <v>#REF!</v>
      </c>
      <c r="BN41" s="40"/>
      <c r="BO41" s="8">
        <v>1000</v>
      </c>
      <c r="BP41" s="40"/>
      <c r="BQ41" s="132">
        <v>2500</v>
      </c>
      <c r="BR41" s="14"/>
      <c r="BS41" s="16">
        <v>2012.5</v>
      </c>
      <c r="BU41" s="132">
        <v>2500</v>
      </c>
    </row>
    <row r="42" spans="1:73" x14ac:dyDescent="0.3">
      <c r="A42" s="41"/>
      <c r="B42" s="41"/>
      <c r="C42" s="41"/>
      <c r="D42" s="41"/>
      <c r="E42" s="122" t="s">
        <v>660</v>
      </c>
      <c r="F42" s="122"/>
      <c r="G42" s="78">
        <v>0</v>
      </c>
      <c r="H42" s="123"/>
      <c r="I42" s="78">
        <v>300</v>
      </c>
      <c r="J42" s="123"/>
      <c r="K42" s="78">
        <v>0</v>
      </c>
      <c r="L42" s="123"/>
      <c r="M42" s="78">
        <v>300</v>
      </c>
      <c r="N42" s="123"/>
      <c r="O42" s="78">
        <v>300</v>
      </c>
      <c r="P42" s="123"/>
      <c r="Q42" s="78">
        <v>300</v>
      </c>
      <c r="R42" s="123"/>
      <c r="S42" s="78">
        <v>0</v>
      </c>
      <c r="T42" s="123"/>
      <c r="V42" s="78">
        <v>300</v>
      </c>
      <c r="X42" s="78">
        <v>0</v>
      </c>
      <c r="Z42" s="78">
        <v>300</v>
      </c>
      <c r="AB42" s="66">
        <v>0</v>
      </c>
      <c r="AD42" s="62">
        <v>300</v>
      </c>
      <c r="AE42" s="148"/>
      <c r="AF42" s="66">
        <v>0</v>
      </c>
      <c r="AG42" s="148"/>
      <c r="AH42" s="62">
        <v>300</v>
      </c>
      <c r="AJ42" s="62">
        <v>300</v>
      </c>
      <c r="AL42" s="66">
        <v>0</v>
      </c>
      <c r="AN42" s="8">
        <v>200</v>
      </c>
      <c r="AP42" s="13"/>
      <c r="AQ42" s="14"/>
      <c r="AR42" s="13">
        <f t="shared" si="1"/>
        <v>200</v>
      </c>
      <c r="AS42" s="14"/>
      <c r="AT42" s="13">
        <v>0</v>
      </c>
      <c r="AU42" s="123"/>
      <c r="AV42" s="40"/>
      <c r="AW42" s="78">
        <v>300</v>
      </c>
      <c r="AX42" s="40"/>
      <c r="AY42" s="78">
        <v>0</v>
      </c>
      <c r="AZ42" s="40"/>
      <c r="BA42" s="78">
        <v>300</v>
      </c>
      <c r="BB42" s="40"/>
      <c r="BC42" s="66">
        <v>0</v>
      </c>
      <c r="BD42" s="40"/>
      <c r="BE42" s="62">
        <v>300</v>
      </c>
      <c r="BF42" s="62"/>
      <c r="BG42" s="66">
        <v>0</v>
      </c>
      <c r="BH42" s="62"/>
      <c r="BI42" s="62">
        <v>300</v>
      </c>
      <c r="BJ42" s="40"/>
      <c r="BK42" s="62">
        <v>300</v>
      </c>
      <c r="BL42" s="40"/>
      <c r="BM42" s="66">
        <v>0</v>
      </c>
      <c r="BN42" s="40"/>
      <c r="BO42" s="8">
        <v>200</v>
      </c>
      <c r="BP42" s="40"/>
      <c r="BQ42" s="132">
        <v>1000</v>
      </c>
      <c r="BR42" s="14"/>
      <c r="BS42" s="16">
        <v>0</v>
      </c>
      <c r="BU42" s="132">
        <v>1000</v>
      </c>
    </row>
    <row r="43" spans="1:73" x14ac:dyDescent="0.3">
      <c r="A43" s="41"/>
      <c r="B43" s="41"/>
      <c r="C43" s="41"/>
      <c r="D43" s="41"/>
      <c r="E43" s="122" t="s">
        <v>661</v>
      </c>
      <c r="F43" s="122"/>
      <c r="G43" s="78">
        <v>-218</v>
      </c>
      <c r="H43" s="123"/>
      <c r="I43" s="78">
        <v>0</v>
      </c>
      <c r="J43" s="123"/>
      <c r="K43" s="78">
        <v>-265.52999999999997</v>
      </c>
      <c r="L43" s="123"/>
      <c r="M43" s="78">
        <v>0</v>
      </c>
      <c r="N43" s="123"/>
      <c r="O43" s="78">
        <v>0</v>
      </c>
      <c r="P43" s="123"/>
      <c r="Q43" s="78">
        <v>0</v>
      </c>
      <c r="R43" s="123"/>
      <c r="S43" s="78">
        <v>-222.28</v>
      </c>
      <c r="T43" s="123"/>
      <c r="V43" s="78">
        <v>0</v>
      </c>
      <c r="X43" s="78">
        <v>18</v>
      </c>
      <c r="Z43" s="78">
        <v>0</v>
      </c>
      <c r="AB43" s="66">
        <v>-303.57</v>
      </c>
      <c r="AD43" s="66">
        <v>0</v>
      </c>
      <c r="AE43" s="148"/>
      <c r="AF43" s="62">
        <f>455.97+76.62</f>
        <v>532.59</v>
      </c>
      <c r="AG43" s="148"/>
      <c r="AH43" s="66">
        <v>0</v>
      </c>
      <c r="AJ43" s="66">
        <v>0</v>
      </c>
      <c r="AL43" s="6" t="e">
        <f>#REF!</f>
        <v>#REF!</v>
      </c>
      <c r="AN43" s="8">
        <v>0</v>
      </c>
      <c r="AP43" s="13">
        <f>'17-18'!B75</f>
        <v>-206.89999999999998</v>
      </c>
      <c r="AQ43" s="14"/>
      <c r="AR43" s="13">
        <f t="shared" si="1"/>
        <v>206.89999999999998</v>
      </c>
      <c r="AS43" s="14"/>
      <c r="AT43" s="13">
        <v>260.51</v>
      </c>
      <c r="AU43" s="123"/>
      <c r="AV43" s="40"/>
      <c r="AW43" s="78">
        <v>0</v>
      </c>
      <c r="AX43" s="40"/>
      <c r="AY43" s="78">
        <v>18</v>
      </c>
      <c r="AZ43" s="40"/>
      <c r="BA43" s="78">
        <v>0</v>
      </c>
      <c r="BB43" s="40"/>
      <c r="BC43" s="66">
        <v>-303.57</v>
      </c>
      <c r="BD43" s="40"/>
      <c r="BE43" s="66">
        <v>0</v>
      </c>
      <c r="BF43" s="62"/>
      <c r="BG43" s="62">
        <f>455.97+76.62</f>
        <v>532.59</v>
      </c>
      <c r="BH43" s="62"/>
      <c r="BI43" s="66">
        <v>0</v>
      </c>
      <c r="BJ43" s="40"/>
      <c r="BK43" s="66">
        <v>0</v>
      </c>
      <c r="BL43" s="40"/>
      <c r="BM43" s="6" t="e">
        <f>#REF!</f>
        <v>#REF!</v>
      </c>
      <c r="BN43" s="40"/>
      <c r="BO43" s="8">
        <v>0</v>
      </c>
      <c r="BP43" s="40"/>
      <c r="BQ43" s="132">
        <v>400</v>
      </c>
      <c r="BR43" s="14"/>
      <c r="BS43" s="16">
        <v>1636.8</v>
      </c>
      <c r="BU43" s="132">
        <v>400</v>
      </c>
    </row>
    <row r="44" spans="1:73" x14ac:dyDescent="0.3">
      <c r="A44" s="41"/>
      <c r="B44" s="41"/>
      <c r="C44" s="41"/>
      <c r="D44" s="41"/>
      <c r="E44" s="122" t="s">
        <v>662</v>
      </c>
      <c r="F44" s="122"/>
      <c r="G44" s="78">
        <v>442</v>
      </c>
      <c r="H44" s="123"/>
      <c r="I44" s="78">
        <v>650</v>
      </c>
      <c r="J44" s="123"/>
      <c r="K44" s="78">
        <v>489.64</v>
      </c>
      <c r="L44" s="123"/>
      <c r="M44" s="78">
        <v>765</v>
      </c>
      <c r="N44" s="123"/>
      <c r="O44" s="78">
        <f>650+115</f>
        <v>765</v>
      </c>
      <c r="P44" s="123"/>
      <c r="Q44" s="78">
        <f>650+115</f>
        <v>765</v>
      </c>
      <c r="R44" s="123"/>
      <c r="S44" s="78">
        <v>748.04</v>
      </c>
      <c r="T44" s="123"/>
      <c r="V44" s="78">
        <v>650</v>
      </c>
      <c r="X44" s="78">
        <v>522</v>
      </c>
      <c r="Z44" s="78">
        <v>650</v>
      </c>
      <c r="AB44" s="66">
        <v>468.86</v>
      </c>
      <c r="AD44" s="62">
        <v>650</v>
      </c>
      <c r="AE44" s="148"/>
      <c r="AF44" s="62">
        <v>314.66000000000003</v>
      </c>
      <c r="AG44" s="148"/>
      <c r="AH44" s="62">
        <v>650</v>
      </c>
      <c r="AJ44" s="62">
        <v>650</v>
      </c>
      <c r="AL44" s="66">
        <v>0</v>
      </c>
      <c r="AN44" s="8">
        <v>500</v>
      </c>
      <c r="AP44" s="13">
        <f>'17-18'!B76</f>
        <v>584.78</v>
      </c>
      <c r="AQ44" s="14"/>
      <c r="AR44" s="13">
        <f t="shared" si="1"/>
        <v>-84.779999999999973</v>
      </c>
      <c r="AS44" s="14"/>
      <c r="AT44" s="13">
        <v>615.21</v>
      </c>
      <c r="AU44" s="123"/>
      <c r="AV44" s="40"/>
      <c r="AW44" s="78">
        <v>650</v>
      </c>
      <c r="AX44" s="40"/>
      <c r="AY44" s="78">
        <v>522</v>
      </c>
      <c r="AZ44" s="40"/>
      <c r="BA44" s="78">
        <v>650</v>
      </c>
      <c r="BB44" s="40"/>
      <c r="BC44" s="66">
        <v>468.86</v>
      </c>
      <c r="BD44" s="40"/>
      <c r="BE44" s="62">
        <v>650</v>
      </c>
      <c r="BF44" s="62"/>
      <c r="BG44" s="62">
        <v>314.66000000000003</v>
      </c>
      <c r="BH44" s="62"/>
      <c r="BI44" s="62">
        <v>650</v>
      </c>
      <c r="BJ44" s="40"/>
      <c r="BK44" s="62">
        <v>650</v>
      </c>
      <c r="BL44" s="40"/>
      <c r="BM44" s="66">
        <v>0</v>
      </c>
      <c r="BN44" s="40"/>
      <c r="BO44" s="8">
        <v>500</v>
      </c>
      <c r="BP44" s="40"/>
      <c r="BQ44" s="132">
        <v>600</v>
      </c>
      <c r="BR44" s="14"/>
      <c r="BS44" s="16">
        <v>0</v>
      </c>
      <c r="BU44" s="132">
        <v>600</v>
      </c>
    </row>
    <row r="45" spans="1:73" x14ac:dyDescent="0.3">
      <c r="A45" s="41"/>
      <c r="B45" s="41"/>
      <c r="C45" s="41"/>
      <c r="D45" s="41"/>
      <c r="E45" s="122" t="s">
        <v>663</v>
      </c>
      <c r="F45" s="122"/>
      <c r="G45" s="78">
        <v>1958</v>
      </c>
      <c r="H45" s="123"/>
      <c r="I45" s="78">
        <v>2000</v>
      </c>
      <c r="J45" s="123"/>
      <c r="K45" s="78">
        <v>1921.05</v>
      </c>
      <c r="L45" s="123"/>
      <c r="M45" s="78">
        <v>1700</v>
      </c>
      <c r="N45" s="123"/>
      <c r="O45" s="78">
        <v>1700</v>
      </c>
      <c r="P45" s="123"/>
      <c r="Q45" s="78">
        <v>1700</v>
      </c>
      <c r="R45" s="123"/>
      <c r="S45" s="78">
        <v>1894.06</v>
      </c>
      <c r="T45" s="123"/>
      <c r="V45" s="78">
        <v>1700</v>
      </c>
      <c r="X45" s="78">
        <v>1832</v>
      </c>
      <c r="Y45" s="78"/>
      <c r="Z45" s="78">
        <v>1900</v>
      </c>
      <c r="AB45" s="66">
        <v>1474.01</v>
      </c>
      <c r="AD45" s="62">
        <v>1900</v>
      </c>
      <c r="AE45" s="148"/>
      <c r="AF45" s="62">
        <v>947.21</v>
      </c>
      <c r="AG45" s="148"/>
      <c r="AH45" s="62">
        <v>1700</v>
      </c>
      <c r="AJ45" s="62">
        <v>1700</v>
      </c>
      <c r="AL45" s="66" t="e">
        <f>#REF!</f>
        <v>#REF!</v>
      </c>
      <c r="AN45" s="8">
        <v>1700</v>
      </c>
      <c r="AP45" s="13">
        <f>'17-18'!B81</f>
        <v>1716.72</v>
      </c>
      <c r="AQ45" s="14"/>
      <c r="AR45" s="13">
        <f t="shared" si="1"/>
        <v>-16.720000000000027</v>
      </c>
      <c r="AS45" s="14"/>
      <c r="AT45" s="13">
        <v>671.57</v>
      </c>
      <c r="AU45" s="123"/>
      <c r="AV45" s="40"/>
      <c r="AW45" s="78">
        <v>1700</v>
      </c>
      <c r="AX45" s="40"/>
      <c r="AY45" s="78">
        <v>1832</v>
      </c>
      <c r="AZ45" s="78"/>
      <c r="BA45" s="78">
        <v>1900</v>
      </c>
      <c r="BB45" s="40"/>
      <c r="BC45" s="66">
        <v>1474.01</v>
      </c>
      <c r="BD45" s="40"/>
      <c r="BE45" s="62">
        <v>1900</v>
      </c>
      <c r="BF45" s="62"/>
      <c r="BG45" s="62">
        <v>947.21</v>
      </c>
      <c r="BH45" s="62"/>
      <c r="BI45" s="62">
        <v>1700</v>
      </c>
      <c r="BJ45" s="40"/>
      <c r="BK45" s="62">
        <v>1700</v>
      </c>
      <c r="BL45" s="40"/>
      <c r="BM45" s="66" t="e">
        <f>#REF!</f>
        <v>#REF!</v>
      </c>
      <c r="BN45" s="40"/>
      <c r="BO45" s="8">
        <v>1700</v>
      </c>
      <c r="BP45" s="40"/>
      <c r="BQ45" s="132">
        <v>2000</v>
      </c>
      <c r="BR45" s="14"/>
      <c r="BS45" s="16">
        <v>463.63</v>
      </c>
      <c r="BU45" s="132">
        <v>2000</v>
      </c>
    </row>
    <row r="46" spans="1:73" x14ac:dyDescent="0.3">
      <c r="A46" s="41"/>
      <c r="B46" s="41"/>
      <c r="C46" s="41"/>
      <c r="D46" s="41"/>
      <c r="E46" s="122" t="s">
        <v>664</v>
      </c>
      <c r="F46" s="122"/>
      <c r="G46" s="78">
        <v>23</v>
      </c>
      <c r="H46" s="123"/>
      <c r="I46" s="78">
        <v>150</v>
      </c>
      <c r="J46" s="123"/>
      <c r="K46" s="78">
        <v>86.53</v>
      </c>
      <c r="L46" s="123"/>
      <c r="M46" s="78">
        <v>150</v>
      </c>
      <c r="N46" s="123"/>
      <c r="O46" s="78">
        <v>150</v>
      </c>
      <c r="P46" s="123"/>
      <c r="Q46" s="78">
        <v>150</v>
      </c>
      <c r="R46" s="123"/>
      <c r="S46" s="78">
        <v>164.2</v>
      </c>
      <c r="T46" s="123"/>
      <c r="V46" s="78">
        <v>250</v>
      </c>
      <c r="X46" s="78">
        <v>228</v>
      </c>
      <c r="Y46" s="78"/>
      <c r="Z46" s="78">
        <v>250</v>
      </c>
      <c r="AB46" s="66">
        <v>811.34</v>
      </c>
      <c r="AD46" s="62">
        <v>250</v>
      </c>
      <c r="AE46" s="148"/>
      <c r="AF46" s="62">
        <f>185.8+192.84</f>
        <v>378.64</v>
      </c>
      <c r="AG46" s="148"/>
      <c r="AH46" s="62">
        <v>250</v>
      </c>
      <c r="AJ46" s="62">
        <v>250</v>
      </c>
      <c r="AL46" s="66" t="e">
        <f>#REF!</f>
        <v>#REF!</v>
      </c>
      <c r="AN46" s="8">
        <v>375</v>
      </c>
      <c r="AP46" s="13">
        <f>'17-18'!B82</f>
        <v>373.25</v>
      </c>
      <c r="AQ46" s="14"/>
      <c r="AR46" s="13">
        <f t="shared" si="1"/>
        <v>1.75</v>
      </c>
      <c r="AS46" s="14"/>
      <c r="AT46" s="13">
        <v>342.79</v>
      </c>
      <c r="AU46" s="123"/>
      <c r="AV46" s="40"/>
      <c r="AW46" s="78">
        <v>250</v>
      </c>
      <c r="AX46" s="40"/>
      <c r="AY46" s="78">
        <v>228</v>
      </c>
      <c r="AZ46" s="78"/>
      <c r="BA46" s="78">
        <v>250</v>
      </c>
      <c r="BB46" s="40"/>
      <c r="BC46" s="66">
        <v>811.34</v>
      </c>
      <c r="BD46" s="40"/>
      <c r="BE46" s="62">
        <v>250</v>
      </c>
      <c r="BF46" s="62"/>
      <c r="BG46" s="62">
        <f>185.8+192.84</f>
        <v>378.64</v>
      </c>
      <c r="BH46" s="62"/>
      <c r="BI46" s="62">
        <v>250</v>
      </c>
      <c r="BJ46" s="40"/>
      <c r="BK46" s="62">
        <v>250</v>
      </c>
      <c r="BL46" s="40"/>
      <c r="BM46" s="66" t="e">
        <f>#REF!</f>
        <v>#REF!</v>
      </c>
      <c r="BN46" s="40"/>
      <c r="BO46" s="8">
        <v>375</v>
      </c>
      <c r="BP46" s="40"/>
      <c r="BQ46" s="132">
        <v>600</v>
      </c>
      <c r="BR46" s="14"/>
      <c r="BS46" s="16">
        <v>334.04</v>
      </c>
      <c r="BU46" s="132">
        <v>600</v>
      </c>
    </row>
    <row r="47" spans="1:73" x14ac:dyDescent="0.3">
      <c r="A47" s="41"/>
      <c r="B47" s="41"/>
      <c r="C47" s="41"/>
      <c r="D47" s="41"/>
      <c r="E47" s="122" t="s">
        <v>837</v>
      </c>
      <c r="F47" s="122"/>
      <c r="G47" s="78"/>
      <c r="H47" s="123"/>
      <c r="I47" s="78"/>
      <c r="J47" s="123"/>
      <c r="K47" s="78">
        <v>0</v>
      </c>
      <c r="L47" s="123"/>
      <c r="M47" s="78">
        <v>700</v>
      </c>
      <c r="N47" s="123"/>
      <c r="O47" s="78">
        <v>700</v>
      </c>
      <c r="P47" s="123"/>
      <c r="Q47" s="78">
        <v>700</v>
      </c>
      <c r="R47" s="123"/>
      <c r="S47" s="78">
        <f>103.2+120</f>
        <v>223.2</v>
      </c>
      <c r="T47" s="123"/>
      <c r="V47" s="78">
        <v>600</v>
      </c>
      <c r="X47" s="78">
        <v>356</v>
      </c>
      <c r="Y47" s="78"/>
      <c r="Z47" s="78">
        <v>300</v>
      </c>
      <c r="AB47" s="66">
        <v>0</v>
      </c>
      <c r="AD47" s="62">
        <v>300</v>
      </c>
      <c r="AE47" s="148"/>
      <c r="AF47" s="66">
        <v>0</v>
      </c>
      <c r="AG47" s="148"/>
      <c r="AH47" s="62">
        <v>300</v>
      </c>
      <c r="AI47" s="40"/>
      <c r="AJ47" s="62">
        <v>300</v>
      </c>
      <c r="AL47" s="66">
        <v>0</v>
      </c>
      <c r="AN47" s="8">
        <v>300</v>
      </c>
      <c r="AP47" s="13"/>
      <c r="AQ47" s="14"/>
      <c r="AR47" s="13">
        <f t="shared" si="1"/>
        <v>300</v>
      </c>
      <c r="AS47" s="14"/>
      <c r="AT47" s="13">
        <v>0</v>
      </c>
      <c r="AU47" s="123"/>
      <c r="AV47" s="40"/>
      <c r="AW47" s="78">
        <v>600</v>
      </c>
      <c r="AX47" s="40"/>
      <c r="AY47" s="78">
        <v>356</v>
      </c>
      <c r="AZ47" s="78"/>
      <c r="BA47" s="78">
        <v>300</v>
      </c>
      <c r="BB47" s="40"/>
      <c r="BC47" s="66">
        <v>0</v>
      </c>
      <c r="BD47" s="40"/>
      <c r="BE47" s="62">
        <v>300</v>
      </c>
      <c r="BF47" s="62"/>
      <c r="BG47" s="66">
        <v>0</v>
      </c>
      <c r="BH47" s="62"/>
      <c r="BI47" s="62">
        <v>300</v>
      </c>
      <c r="BJ47" s="40"/>
      <c r="BK47" s="62">
        <v>300</v>
      </c>
      <c r="BL47" s="40"/>
      <c r="BM47" s="66">
        <v>0</v>
      </c>
      <c r="BN47" s="40"/>
      <c r="BO47" s="8">
        <v>300</v>
      </c>
      <c r="BP47" s="40"/>
      <c r="BQ47" s="132">
        <v>1250</v>
      </c>
      <c r="BR47" s="14"/>
      <c r="BS47" s="16">
        <v>0</v>
      </c>
      <c r="BU47" s="132">
        <v>1250</v>
      </c>
    </row>
    <row r="48" spans="1:73" x14ac:dyDescent="0.3">
      <c r="A48" s="41"/>
      <c r="B48" s="41"/>
      <c r="C48" s="41"/>
      <c r="D48" s="41"/>
      <c r="E48" s="122" t="s">
        <v>830</v>
      </c>
      <c r="F48" s="122"/>
      <c r="G48" s="78">
        <v>0</v>
      </c>
      <c r="H48" s="123"/>
      <c r="I48" s="78">
        <v>125</v>
      </c>
      <c r="J48" s="123"/>
      <c r="K48" s="78">
        <v>0</v>
      </c>
      <c r="L48" s="123"/>
      <c r="M48" s="78">
        <v>125</v>
      </c>
      <c r="N48" s="123"/>
      <c r="O48" s="78">
        <v>125</v>
      </c>
      <c r="P48" s="123"/>
      <c r="Q48" s="78">
        <v>125</v>
      </c>
      <c r="R48" s="123"/>
      <c r="S48" s="78">
        <v>0</v>
      </c>
      <c r="T48" s="123"/>
      <c r="U48" s="153"/>
      <c r="V48" s="78">
        <v>125</v>
      </c>
      <c r="W48" s="153"/>
      <c r="X48" s="78">
        <v>0</v>
      </c>
      <c r="Y48" s="78"/>
      <c r="Z48" s="78">
        <v>125</v>
      </c>
      <c r="AB48" s="66">
        <v>0</v>
      </c>
      <c r="AD48" s="62">
        <v>125</v>
      </c>
      <c r="AE48" s="148"/>
      <c r="AF48" s="66">
        <v>0</v>
      </c>
      <c r="AG48" s="148"/>
      <c r="AH48" s="62">
        <v>125</v>
      </c>
      <c r="AJ48" s="62">
        <v>125</v>
      </c>
      <c r="AL48" s="66">
        <v>0</v>
      </c>
      <c r="AN48" s="8">
        <v>50</v>
      </c>
      <c r="AP48" s="13"/>
      <c r="AQ48" s="14"/>
      <c r="AR48" s="13">
        <f t="shared" si="1"/>
        <v>50</v>
      </c>
      <c r="AS48" s="14"/>
      <c r="AT48" s="13">
        <v>0</v>
      </c>
      <c r="AU48" s="123"/>
      <c r="AV48" s="124"/>
      <c r="AW48" s="78">
        <v>125</v>
      </c>
      <c r="AX48" s="124"/>
      <c r="AY48" s="78">
        <v>0</v>
      </c>
      <c r="AZ48" s="78"/>
      <c r="BA48" s="78">
        <v>125</v>
      </c>
      <c r="BB48" s="40"/>
      <c r="BC48" s="66">
        <v>0</v>
      </c>
      <c r="BD48" s="40"/>
      <c r="BE48" s="62">
        <v>125</v>
      </c>
      <c r="BF48" s="62"/>
      <c r="BG48" s="66">
        <v>0</v>
      </c>
      <c r="BH48" s="62"/>
      <c r="BI48" s="62">
        <v>125</v>
      </c>
      <c r="BJ48" s="40"/>
      <c r="BK48" s="62">
        <v>125</v>
      </c>
      <c r="BL48" s="40"/>
      <c r="BM48" s="66">
        <v>0</v>
      </c>
      <c r="BN48" s="40"/>
      <c r="BO48" s="8">
        <v>50</v>
      </c>
      <c r="BP48" s="40"/>
      <c r="BQ48" s="132">
        <v>250</v>
      </c>
      <c r="BR48" s="14"/>
      <c r="BS48" s="16">
        <v>542.02</v>
      </c>
      <c r="BU48" s="132">
        <v>500</v>
      </c>
    </row>
    <row r="49" spans="1:73" x14ac:dyDescent="0.3">
      <c r="A49" s="41"/>
      <c r="B49" s="41"/>
      <c r="C49" s="41"/>
      <c r="D49" s="41"/>
      <c r="E49" s="122" t="s">
        <v>688</v>
      </c>
      <c r="F49" s="122"/>
      <c r="G49" s="78"/>
      <c r="H49" s="123"/>
      <c r="I49" s="78"/>
      <c r="J49" s="123"/>
      <c r="K49" s="78"/>
      <c r="L49" s="123"/>
      <c r="M49" s="78"/>
      <c r="N49" s="123"/>
      <c r="O49" s="78"/>
      <c r="P49" s="123"/>
      <c r="Q49" s="78"/>
      <c r="R49" s="123"/>
      <c r="S49" s="78"/>
      <c r="T49" s="123"/>
      <c r="U49" s="153"/>
      <c r="V49" s="78"/>
      <c r="W49" s="153"/>
      <c r="X49" s="78"/>
      <c r="Y49" s="78"/>
      <c r="Z49" s="78"/>
      <c r="AB49" s="66"/>
      <c r="AD49" s="62"/>
      <c r="AE49" s="148"/>
      <c r="AF49" s="66"/>
      <c r="AG49" s="148"/>
      <c r="AH49" s="62"/>
      <c r="AJ49" s="62"/>
      <c r="AL49" s="66"/>
      <c r="AN49" s="8"/>
      <c r="AP49" s="13"/>
      <c r="AQ49" s="14"/>
      <c r="AR49" s="13"/>
      <c r="AS49" s="14"/>
      <c r="AT49" s="13">
        <v>0</v>
      </c>
      <c r="AU49" s="123"/>
      <c r="AV49" s="124"/>
      <c r="AW49" s="78"/>
      <c r="AX49" s="124"/>
      <c r="AY49" s="78"/>
      <c r="AZ49" s="78"/>
      <c r="BA49" s="78"/>
      <c r="BB49" s="40"/>
      <c r="BC49" s="66"/>
      <c r="BD49" s="40"/>
      <c r="BE49" s="62"/>
      <c r="BF49" s="62"/>
      <c r="BG49" s="66"/>
      <c r="BH49" s="62"/>
      <c r="BI49" s="62"/>
      <c r="BJ49" s="40"/>
      <c r="BK49" s="62"/>
      <c r="BL49" s="40"/>
      <c r="BM49" s="66"/>
      <c r="BN49" s="40"/>
      <c r="BO49" s="8"/>
      <c r="BP49" s="40"/>
      <c r="BQ49" s="132">
        <v>200</v>
      </c>
      <c r="BR49" s="14"/>
      <c r="BS49" s="16">
        <v>135.44</v>
      </c>
      <c r="BU49" s="132">
        <v>200</v>
      </c>
    </row>
    <row r="50" spans="1:73" x14ac:dyDescent="0.3">
      <c r="A50" s="41"/>
      <c r="B50" s="41"/>
      <c r="C50" s="41"/>
      <c r="D50" s="41"/>
      <c r="E50" s="122" t="s">
        <v>665</v>
      </c>
      <c r="F50" s="122"/>
      <c r="G50" s="78">
        <v>0</v>
      </c>
      <c r="H50" s="123"/>
      <c r="I50" s="78">
        <v>100</v>
      </c>
      <c r="J50" s="123"/>
      <c r="K50" s="78">
        <v>39.909999999999997</v>
      </c>
      <c r="L50" s="123"/>
      <c r="M50" s="78">
        <v>100</v>
      </c>
      <c r="N50" s="123"/>
      <c r="O50" s="78">
        <v>100</v>
      </c>
      <c r="P50" s="123"/>
      <c r="Q50" s="78">
        <v>100</v>
      </c>
      <c r="R50" s="123"/>
      <c r="S50" s="78">
        <v>62.47</v>
      </c>
      <c r="T50" s="123"/>
      <c r="U50" s="153"/>
      <c r="V50" s="78">
        <v>100</v>
      </c>
      <c r="W50" s="153"/>
      <c r="X50" s="78">
        <v>0</v>
      </c>
      <c r="Y50" s="78"/>
      <c r="Z50" s="78">
        <v>100</v>
      </c>
      <c r="AB50" s="66">
        <v>23.74</v>
      </c>
      <c r="AD50" s="62">
        <v>100</v>
      </c>
      <c r="AE50" s="148"/>
      <c r="AF50" s="66">
        <v>0</v>
      </c>
      <c r="AG50" s="148"/>
      <c r="AH50" s="62">
        <v>100</v>
      </c>
      <c r="AI50" s="40"/>
      <c r="AJ50" s="62">
        <v>50</v>
      </c>
      <c r="AL50" s="66" t="e">
        <f>#REF!</f>
        <v>#REF!</v>
      </c>
      <c r="AN50" s="8">
        <v>50</v>
      </c>
      <c r="AP50" s="13">
        <f>'17-18'!B84</f>
        <v>30.91</v>
      </c>
      <c r="AQ50" s="14"/>
      <c r="AR50" s="13">
        <f t="shared" si="1"/>
        <v>19.09</v>
      </c>
      <c r="AS50" s="14"/>
      <c r="AT50" s="13">
        <v>48.28</v>
      </c>
      <c r="AU50" s="123"/>
      <c r="AV50" s="124"/>
      <c r="AW50" s="78">
        <v>100</v>
      </c>
      <c r="AX50" s="124"/>
      <c r="AY50" s="78">
        <v>0</v>
      </c>
      <c r="AZ50" s="78"/>
      <c r="BA50" s="78">
        <v>100</v>
      </c>
      <c r="BB50" s="40"/>
      <c r="BC50" s="66">
        <v>23.74</v>
      </c>
      <c r="BD50" s="40"/>
      <c r="BE50" s="62">
        <v>100</v>
      </c>
      <c r="BF50" s="62"/>
      <c r="BG50" s="66">
        <v>0</v>
      </c>
      <c r="BH50" s="62"/>
      <c r="BI50" s="62">
        <v>100</v>
      </c>
      <c r="BJ50" s="40"/>
      <c r="BK50" s="62">
        <v>50</v>
      </c>
      <c r="BL50" s="40"/>
      <c r="BM50" s="66" t="e">
        <f>#REF!</f>
        <v>#REF!</v>
      </c>
      <c r="BN50" s="40"/>
      <c r="BO50" s="8">
        <v>50</v>
      </c>
      <c r="BP50" s="40"/>
      <c r="BQ50" s="132">
        <v>100</v>
      </c>
      <c r="BR50" s="14"/>
      <c r="BS50" s="16">
        <v>0</v>
      </c>
      <c r="BU50" s="132">
        <v>100</v>
      </c>
    </row>
    <row r="51" spans="1:73" x14ac:dyDescent="0.3">
      <c r="A51" s="41"/>
      <c r="B51" s="41"/>
      <c r="C51" s="41"/>
      <c r="D51" s="41"/>
      <c r="E51" s="122" t="s">
        <v>838</v>
      </c>
      <c r="F51" s="122"/>
      <c r="G51" s="78">
        <v>107</v>
      </c>
      <c r="H51" s="123"/>
      <c r="I51" s="78">
        <v>300</v>
      </c>
      <c r="J51" s="123"/>
      <c r="K51" s="78">
        <v>140.81</v>
      </c>
      <c r="L51" s="123"/>
      <c r="M51" s="78">
        <v>300</v>
      </c>
      <c r="N51" s="123"/>
      <c r="O51" s="78">
        <v>300</v>
      </c>
      <c r="P51" s="123"/>
      <c r="Q51" s="78">
        <v>300</v>
      </c>
      <c r="R51" s="123"/>
      <c r="S51" s="78">
        <v>0</v>
      </c>
      <c r="T51" s="123"/>
      <c r="U51" s="153"/>
      <c r="V51" s="78">
        <v>300</v>
      </c>
      <c r="W51" s="153"/>
      <c r="X51" s="78">
        <v>805</v>
      </c>
      <c r="Y51" s="78"/>
      <c r="Z51" s="78">
        <v>300</v>
      </c>
      <c r="AB51" s="66">
        <v>858.45</v>
      </c>
      <c r="AD51" s="62">
        <v>300</v>
      </c>
      <c r="AE51" s="148"/>
      <c r="AF51" s="66">
        <v>0</v>
      </c>
      <c r="AG51" s="148"/>
      <c r="AH51" s="62">
        <v>300</v>
      </c>
      <c r="AJ51" s="62">
        <v>300</v>
      </c>
      <c r="AL51" s="66" t="e">
        <f>#REF!</f>
        <v>#REF!</v>
      </c>
      <c r="AN51" s="8">
        <v>250</v>
      </c>
      <c r="AP51" s="13">
        <f>'17-18'!B86</f>
        <v>167.83</v>
      </c>
      <c r="AQ51" s="14"/>
      <c r="AR51" s="13">
        <f t="shared" si="1"/>
        <v>82.169999999999987</v>
      </c>
      <c r="AS51" s="14"/>
      <c r="AT51" s="13">
        <v>68.7</v>
      </c>
      <c r="AU51" s="123"/>
      <c r="AV51" s="124"/>
      <c r="AW51" s="78">
        <v>300</v>
      </c>
      <c r="AX51" s="124"/>
      <c r="AY51" s="78">
        <v>805</v>
      </c>
      <c r="AZ51" s="78"/>
      <c r="BA51" s="78">
        <v>300</v>
      </c>
      <c r="BB51" s="40"/>
      <c r="BC51" s="66">
        <v>858.45</v>
      </c>
      <c r="BD51" s="40"/>
      <c r="BE51" s="62">
        <v>300</v>
      </c>
      <c r="BF51" s="62"/>
      <c r="BG51" s="66">
        <v>0</v>
      </c>
      <c r="BH51" s="62"/>
      <c r="BI51" s="62">
        <v>300</v>
      </c>
      <c r="BJ51" s="40"/>
      <c r="BK51" s="62">
        <v>300</v>
      </c>
      <c r="BL51" s="40"/>
      <c r="BM51" s="66" t="e">
        <f>#REF!</f>
        <v>#REF!</v>
      </c>
      <c r="BN51" s="40"/>
      <c r="BO51" s="8">
        <v>250</v>
      </c>
      <c r="BP51" s="40"/>
      <c r="BQ51" s="132">
        <v>1000</v>
      </c>
      <c r="BR51" s="14"/>
      <c r="BS51" s="16">
        <v>1485.56</v>
      </c>
      <c r="BU51" s="132">
        <v>1400</v>
      </c>
    </row>
    <row r="52" spans="1:73" x14ac:dyDescent="0.3">
      <c r="A52" s="41"/>
      <c r="B52" s="41"/>
      <c r="C52" s="41"/>
      <c r="D52" s="41"/>
      <c r="E52" s="122" t="s">
        <v>833</v>
      </c>
      <c r="F52" s="122"/>
      <c r="G52" s="78"/>
      <c r="H52" s="123"/>
      <c r="I52" s="78"/>
      <c r="J52" s="123"/>
      <c r="K52" s="78"/>
      <c r="L52" s="123"/>
      <c r="M52" s="78"/>
      <c r="N52" s="123"/>
      <c r="O52" s="78"/>
      <c r="P52" s="123"/>
      <c r="Q52" s="78"/>
      <c r="R52" s="123"/>
      <c r="S52" s="78"/>
      <c r="T52" s="123"/>
      <c r="U52" s="153"/>
      <c r="V52" s="78"/>
      <c r="W52" s="153"/>
      <c r="X52" s="78"/>
      <c r="Y52" s="78"/>
      <c r="Z52" s="78"/>
      <c r="AB52" s="66"/>
      <c r="AD52" s="62"/>
      <c r="AE52" s="148"/>
      <c r="AF52" s="66"/>
      <c r="AG52" s="148"/>
      <c r="AH52" s="62"/>
      <c r="AJ52" s="62"/>
      <c r="AL52" s="66"/>
      <c r="AN52" s="8"/>
      <c r="AP52" s="13"/>
      <c r="AQ52" s="14"/>
      <c r="AR52" s="13"/>
      <c r="AS52" s="14"/>
      <c r="AT52" s="13"/>
      <c r="AU52" s="123"/>
      <c r="AV52" s="124"/>
      <c r="AW52" s="78"/>
      <c r="AX52" s="124"/>
      <c r="AY52" s="78"/>
      <c r="AZ52" s="78"/>
      <c r="BA52" s="78"/>
      <c r="BB52" s="40"/>
      <c r="BC52" s="66"/>
      <c r="BD52" s="40"/>
      <c r="BE52" s="62"/>
      <c r="BF52" s="62"/>
      <c r="BG52" s="66"/>
      <c r="BH52" s="62"/>
      <c r="BI52" s="62"/>
      <c r="BJ52" s="40"/>
      <c r="BK52" s="62"/>
      <c r="BL52" s="40"/>
      <c r="BM52" s="66"/>
      <c r="BN52" s="40"/>
      <c r="BO52" s="8"/>
      <c r="BP52" s="40"/>
      <c r="BQ52" s="132">
        <v>600</v>
      </c>
      <c r="BR52" s="14"/>
      <c r="BS52" s="16">
        <v>609.19000000000005</v>
      </c>
      <c r="BU52" s="132">
        <v>600</v>
      </c>
    </row>
    <row r="53" spans="1:73" x14ac:dyDescent="0.3">
      <c r="A53" s="41"/>
      <c r="B53" s="41"/>
      <c r="C53" s="41"/>
      <c r="D53" s="41"/>
      <c r="E53" s="122" t="s">
        <v>834</v>
      </c>
      <c r="F53" s="122"/>
      <c r="G53" s="78"/>
      <c r="H53" s="123"/>
      <c r="I53" s="78"/>
      <c r="J53" s="123"/>
      <c r="K53" s="78"/>
      <c r="L53" s="123"/>
      <c r="M53" s="78"/>
      <c r="N53" s="123"/>
      <c r="O53" s="78"/>
      <c r="P53" s="123"/>
      <c r="Q53" s="78"/>
      <c r="R53" s="123"/>
      <c r="S53" s="78"/>
      <c r="T53" s="123"/>
      <c r="U53" s="153"/>
      <c r="V53" s="78"/>
      <c r="W53" s="153"/>
      <c r="X53" s="78"/>
      <c r="Y53" s="78"/>
      <c r="Z53" s="78"/>
      <c r="AB53" s="66"/>
      <c r="AD53" s="62"/>
      <c r="AE53" s="148"/>
      <c r="AF53" s="66"/>
      <c r="AG53" s="148"/>
      <c r="AH53" s="62"/>
      <c r="AJ53" s="62"/>
      <c r="AL53" s="66"/>
      <c r="AN53" s="8"/>
      <c r="AP53" s="13"/>
      <c r="AQ53" s="14"/>
      <c r="AR53" s="13"/>
      <c r="AS53" s="14"/>
      <c r="AT53" s="13"/>
      <c r="AU53" s="123"/>
      <c r="AV53" s="124"/>
      <c r="AW53" s="78"/>
      <c r="AX53" s="124"/>
      <c r="AY53" s="78"/>
      <c r="AZ53" s="78"/>
      <c r="BA53" s="78"/>
      <c r="BB53" s="40"/>
      <c r="BC53" s="66"/>
      <c r="BD53" s="40"/>
      <c r="BE53" s="62"/>
      <c r="BF53" s="62"/>
      <c r="BG53" s="66"/>
      <c r="BH53" s="62"/>
      <c r="BI53" s="62"/>
      <c r="BJ53" s="40"/>
      <c r="BK53" s="62"/>
      <c r="BL53" s="40"/>
      <c r="BM53" s="66"/>
      <c r="BN53" s="40"/>
      <c r="BO53" s="8"/>
      <c r="BP53" s="40"/>
      <c r="BQ53" s="132">
        <v>1000</v>
      </c>
      <c r="BR53" s="14"/>
      <c r="BS53" s="16">
        <v>0</v>
      </c>
      <c r="BU53" s="132">
        <v>1000</v>
      </c>
    </row>
    <row r="54" spans="1:73" ht="14.25" customHeight="1" x14ac:dyDescent="0.3">
      <c r="A54" s="41"/>
      <c r="B54" s="41"/>
      <c r="C54" s="41"/>
      <c r="D54" s="41"/>
      <c r="E54" s="122" t="s">
        <v>666</v>
      </c>
      <c r="F54" s="122"/>
      <c r="G54" s="78">
        <v>0</v>
      </c>
      <c r="H54" s="123"/>
      <c r="I54" s="78">
        <v>100</v>
      </c>
      <c r="J54" s="123"/>
      <c r="K54" s="78">
        <v>0</v>
      </c>
      <c r="L54" s="123"/>
      <c r="M54" s="78">
        <v>100</v>
      </c>
      <c r="N54" s="123"/>
      <c r="O54" s="78">
        <v>100</v>
      </c>
      <c r="P54" s="123"/>
      <c r="Q54" s="78">
        <v>100</v>
      </c>
      <c r="R54" s="123"/>
      <c r="S54" s="78">
        <v>34.96</v>
      </c>
      <c r="T54" s="123"/>
      <c r="U54" s="153"/>
      <c r="V54" s="78">
        <v>100</v>
      </c>
      <c r="W54" s="153"/>
      <c r="X54" s="78">
        <v>0</v>
      </c>
      <c r="Y54" s="78"/>
      <c r="Z54" s="78">
        <v>100</v>
      </c>
      <c r="AB54" s="66">
        <v>0</v>
      </c>
      <c r="AD54" s="62">
        <v>100</v>
      </c>
      <c r="AE54" s="148"/>
      <c r="AF54" s="66">
        <v>0</v>
      </c>
      <c r="AG54" s="148"/>
      <c r="AH54" s="62">
        <v>100</v>
      </c>
      <c r="AJ54" s="62">
        <v>100</v>
      </c>
      <c r="AL54" s="66">
        <v>0</v>
      </c>
      <c r="AN54" s="8">
        <v>0</v>
      </c>
      <c r="AP54" s="13"/>
      <c r="AQ54" s="14"/>
      <c r="AR54" s="13">
        <f t="shared" si="1"/>
        <v>0</v>
      </c>
      <c r="AS54" s="14"/>
      <c r="AT54" s="13">
        <v>0</v>
      </c>
      <c r="AU54" s="123"/>
      <c r="AV54" s="124"/>
      <c r="AW54" s="78">
        <v>100</v>
      </c>
      <c r="AX54" s="124"/>
      <c r="AY54" s="78">
        <v>0</v>
      </c>
      <c r="AZ54" s="78"/>
      <c r="BA54" s="78">
        <v>100</v>
      </c>
      <c r="BB54" s="40"/>
      <c r="BC54" s="66">
        <v>0</v>
      </c>
      <c r="BD54" s="40"/>
      <c r="BE54" s="62">
        <v>100</v>
      </c>
      <c r="BF54" s="62"/>
      <c r="BG54" s="66">
        <v>0</v>
      </c>
      <c r="BH54" s="62"/>
      <c r="BI54" s="62">
        <v>100</v>
      </c>
      <c r="BJ54" s="40"/>
      <c r="BK54" s="62">
        <v>100</v>
      </c>
      <c r="BL54" s="40"/>
      <c r="BM54" s="66">
        <v>0</v>
      </c>
      <c r="BN54" s="40"/>
      <c r="BO54" s="8">
        <v>0</v>
      </c>
      <c r="BP54" s="40"/>
      <c r="BQ54" s="132">
        <v>250</v>
      </c>
      <c r="BR54" s="14"/>
      <c r="BS54" s="16"/>
      <c r="BU54" s="132">
        <v>250</v>
      </c>
    </row>
    <row r="55" spans="1:73" ht="14.5" thickBot="1" x14ac:dyDescent="0.35">
      <c r="A55" s="41"/>
      <c r="B55" s="41"/>
      <c r="C55" s="41"/>
      <c r="D55" s="41"/>
      <c r="E55" s="122" t="s">
        <v>667</v>
      </c>
      <c r="F55" s="122"/>
      <c r="G55" s="125">
        <v>-79</v>
      </c>
      <c r="H55" s="123"/>
      <c r="I55" s="125">
        <v>0</v>
      </c>
      <c r="J55" s="123"/>
      <c r="K55" s="125">
        <v>0</v>
      </c>
      <c r="L55" s="123"/>
      <c r="M55" s="125">
        <v>200</v>
      </c>
      <c r="N55" s="123"/>
      <c r="O55" s="125">
        <v>200</v>
      </c>
      <c r="P55" s="123"/>
      <c r="Q55" s="125">
        <v>200</v>
      </c>
      <c r="R55" s="123"/>
      <c r="S55" s="125">
        <v>0</v>
      </c>
      <c r="T55" s="123"/>
      <c r="U55" s="153"/>
      <c r="V55" s="125">
        <v>200</v>
      </c>
      <c r="W55" s="153"/>
      <c r="X55" s="125"/>
      <c r="Z55" s="125">
        <v>700</v>
      </c>
      <c r="AB55" s="125">
        <v>107.6</v>
      </c>
      <c r="AD55" s="83">
        <v>700</v>
      </c>
      <c r="AE55" s="148"/>
      <c r="AF55" s="83">
        <v>1745.22</v>
      </c>
      <c r="AG55" s="148"/>
      <c r="AH55" s="83">
        <v>700</v>
      </c>
      <c r="AJ55" s="83">
        <v>700</v>
      </c>
      <c r="AL55" s="85">
        <v>0</v>
      </c>
      <c r="AN55" s="9">
        <v>500</v>
      </c>
      <c r="AP55" s="17">
        <f>'17-18'!B85</f>
        <v>303.64</v>
      </c>
      <c r="AQ55" s="14"/>
      <c r="AR55" s="17">
        <f t="shared" si="1"/>
        <v>196.36</v>
      </c>
      <c r="AS55" s="14"/>
      <c r="AT55" s="17">
        <v>146.04</v>
      </c>
      <c r="AU55" s="123"/>
      <c r="AV55" s="124"/>
      <c r="AW55" s="125">
        <v>200</v>
      </c>
      <c r="AX55" s="124"/>
      <c r="AY55" s="125"/>
      <c r="AZ55" s="40"/>
      <c r="BA55" s="125">
        <v>700</v>
      </c>
      <c r="BB55" s="40"/>
      <c r="BC55" s="125">
        <v>107.6</v>
      </c>
      <c r="BD55" s="40"/>
      <c r="BE55" s="83">
        <v>700</v>
      </c>
      <c r="BF55" s="62"/>
      <c r="BG55" s="83">
        <v>1745.22</v>
      </c>
      <c r="BH55" s="62"/>
      <c r="BI55" s="83">
        <v>700</v>
      </c>
      <c r="BJ55" s="40"/>
      <c r="BK55" s="83">
        <v>700</v>
      </c>
      <c r="BL55" s="40"/>
      <c r="BM55" s="85">
        <v>0</v>
      </c>
      <c r="BN55" s="40"/>
      <c r="BO55" s="9">
        <v>500</v>
      </c>
      <c r="BP55" s="40"/>
      <c r="BQ55" s="133">
        <v>1000</v>
      </c>
      <c r="BR55" s="14"/>
      <c r="BS55" s="21"/>
      <c r="BU55" s="133">
        <v>1000</v>
      </c>
    </row>
    <row r="56" spans="1:73" x14ac:dyDescent="0.3">
      <c r="A56" s="41"/>
      <c r="B56" s="41"/>
      <c r="C56" s="41"/>
      <c r="D56" s="70" t="s">
        <v>668</v>
      </c>
      <c r="E56" s="70"/>
      <c r="F56" s="70"/>
      <c r="G56" s="55">
        <f>ROUND(SUM(G39:G55),5)</f>
        <v>2193</v>
      </c>
      <c r="H56" s="56"/>
      <c r="I56" s="55">
        <f>ROUND(SUM(I39:I55),5)</f>
        <v>4825</v>
      </c>
      <c r="J56" s="56"/>
      <c r="K56" s="55">
        <f>ROUND(SUM(K39:K55),5)</f>
        <v>3001.14</v>
      </c>
      <c r="L56" s="56"/>
      <c r="M56" s="55">
        <f>ROUND(SUM(M39:M55),5)</f>
        <v>5040</v>
      </c>
      <c r="N56" s="56"/>
      <c r="O56" s="55">
        <f>ROUND(SUM(O39:O55),5)</f>
        <v>5040</v>
      </c>
      <c r="P56" s="56"/>
      <c r="Q56" s="55">
        <f>ROUND(SUM(Q39:Q55),5)</f>
        <v>5040</v>
      </c>
      <c r="R56" s="56"/>
      <c r="S56" s="55">
        <f>ROUND(SUM(S39:S55),5)</f>
        <v>1111.2</v>
      </c>
      <c r="T56" s="56"/>
      <c r="V56" s="55">
        <f>ROUND(SUM(V39:V55),5)</f>
        <v>4925</v>
      </c>
      <c r="X56" s="55">
        <f>SUM(X41:X55)</f>
        <v>1873</v>
      </c>
      <c r="Z56" s="55">
        <f>SUM(Z40:Z55)</f>
        <v>5325</v>
      </c>
      <c r="AB56" s="86">
        <f>SUM(AB41:AB55)</f>
        <v>5244.13</v>
      </c>
      <c r="AD56" s="60">
        <f>SUM(AD40:AD55)</f>
        <v>5325</v>
      </c>
      <c r="AE56" s="148"/>
      <c r="AF56" s="80">
        <f>SUM(AF40:AF55)</f>
        <v>5847.97</v>
      </c>
      <c r="AG56" s="148"/>
      <c r="AH56" s="80">
        <f>SUM(AH40:AH55)</f>
        <v>5325</v>
      </c>
      <c r="AJ56" s="80">
        <f>SUM(AJ40:AJ55)</f>
        <v>5275</v>
      </c>
      <c r="AL56" s="7" t="e">
        <f>SUM(AL40:AL55)</f>
        <v>#REF!</v>
      </c>
      <c r="AN56" s="10">
        <f>SUM(AN40:AN55)</f>
        <v>5025</v>
      </c>
      <c r="AP56" s="18">
        <f>SUM(AP40:AP55)</f>
        <v>-1759.6599999999994</v>
      </c>
      <c r="AQ56" s="19"/>
      <c r="AR56" s="20">
        <f t="shared" si="1"/>
        <v>6784.66</v>
      </c>
      <c r="AS56" s="15"/>
      <c r="AT56" s="18">
        <v>1483.1600000000003</v>
      </c>
      <c r="AU56" s="56"/>
      <c r="AV56" s="40"/>
      <c r="AW56" s="55">
        <f>ROUND(SUM(AW39:AW55),5)</f>
        <v>4925</v>
      </c>
      <c r="AX56" s="40"/>
      <c r="AY56" s="55">
        <f>SUM(AY41:AY55)</f>
        <v>1873</v>
      </c>
      <c r="AZ56" s="40"/>
      <c r="BA56" s="55">
        <f>SUM(BA40:BA55)</f>
        <v>5325</v>
      </c>
      <c r="BB56" s="40"/>
      <c r="BC56" s="86">
        <f>SUM(BC41:BC55)</f>
        <v>5244.13</v>
      </c>
      <c r="BD56" s="40"/>
      <c r="BE56" s="60">
        <f>SUM(BE40:BE55)</f>
        <v>5325</v>
      </c>
      <c r="BF56" s="62"/>
      <c r="BG56" s="80">
        <f>SUM(BG40:BG55)</f>
        <v>5847.97</v>
      </c>
      <c r="BH56" s="62"/>
      <c r="BI56" s="80">
        <f>SUM(BI40:BI55)</f>
        <v>5325</v>
      </c>
      <c r="BJ56" s="40"/>
      <c r="BK56" s="80">
        <f>SUM(BK40:BK55)</f>
        <v>5275</v>
      </c>
      <c r="BL56" s="40"/>
      <c r="BM56" s="7" t="e">
        <f>SUM(BM40:BM55)</f>
        <v>#REF!</v>
      </c>
      <c r="BN56" s="40"/>
      <c r="BO56" s="10">
        <f>SUM(BO40:BO55)</f>
        <v>5025</v>
      </c>
      <c r="BP56" s="40"/>
      <c r="BQ56" s="126">
        <f>SUM(BQ40:BQ55)</f>
        <v>13500</v>
      </c>
      <c r="BR56" s="19"/>
      <c r="BS56" s="22">
        <f>SUM(BS39:BS55)</f>
        <v>9735.1200000000008</v>
      </c>
      <c r="BU56" s="126">
        <f>SUM(BU40:BU55)</f>
        <v>14900</v>
      </c>
    </row>
    <row r="57" spans="1:73" x14ac:dyDescent="0.3">
      <c r="A57" s="41"/>
      <c r="B57" s="41"/>
      <c r="C57" s="41"/>
      <c r="D57" s="41" t="s">
        <v>543</v>
      </c>
      <c r="E57" s="41"/>
      <c r="F57" s="41"/>
      <c r="G57" s="55"/>
      <c r="H57" s="56"/>
      <c r="I57" s="55"/>
      <c r="J57" s="56"/>
      <c r="K57" s="55"/>
      <c r="L57" s="56"/>
      <c r="M57" s="55"/>
      <c r="N57" s="56"/>
      <c r="O57" s="55"/>
      <c r="P57" s="56"/>
      <c r="Q57" s="55"/>
      <c r="R57" s="56"/>
      <c r="S57" s="55"/>
      <c r="T57" s="56"/>
      <c r="V57" s="55"/>
      <c r="X57" s="55"/>
      <c r="Z57" s="55"/>
      <c r="AB57" s="66"/>
      <c r="AD57" s="148"/>
      <c r="AE57" s="148"/>
      <c r="AF57" s="62"/>
      <c r="AG57" s="148"/>
      <c r="AH57" s="62"/>
      <c r="AJ57" s="62"/>
      <c r="AL57" s="66"/>
      <c r="AN57" s="8"/>
      <c r="AP57" s="13"/>
      <c r="AQ57" s="14"/>
      <c r="AR57" s="13"/>
      <c r="AS57" s="15"/>
      <c r="AT57" s="13"/>
      <c r="AU57" s="56"/>
      <c r="AV57" s="40"/>
      <c r="AW57" s="55"/>
      <c r="AX57" s="40"/>
      <c r="AY57" s="55"/>
      <c r="AZ57" s="40"/>
      <c r="BA57" s="55"/>
      <c r="BB57" s="40"/>
      <c r="BC57" s="66"/>
      <c r="BD57" s="40"/>
      <c r="BE57" s="62"/>
      <c r="BF57" s="62"/>
      <c r="BG57" s="62"/>
      <c r="BH57" s="62"/>
      <c r="BI57" s="62"/>
      <c r="BJ57" s="40"/>
      <c r="BK57" s="62"/>
      <c r="BL57" s="40"/>
      <c r="BM57" s="66"/>
      <c r="BN57" s="40"/>
      <c r="BO57" s="8"/>
      <c r="BP57" s="40"/>
      <c r="BQ57" s="132"/>
      <c r="BR57" s="14"/>
      <c r="BS57" s="16"/>
      <c r="BU57" s="132"/>
    </row>
    <row r="58" spans="1:73" x14ac:dyDescent="0.3">
      <c r="A58" s="41"/>
      <c r="B58" s="41"/>
      <c r="C58" s="41"/>
      <c r="D58" s="41"/>
      <c r="E58" s="41" t="s">
        <v>669</v>
      </c>
      <c r="F58" s="41"/>
      <c r="G58" s="55"/>
      <c r="H58" s="56"/>
      <c r="I58" s="55"/>
      <c r="J58" s="56"/>
      <c r="K58" s="55"/>
      <c r="L58" s="56"/>
      <c r="M58" s="55">
        <v>2000</v>
      </c>
      <c r="N58" s="56"/>
      <c r="O58" s="55">
        <v>2000</v>
      </c>
      <c r="P58" s="56"/>
      <c r="Q58" s="55">
        <v>2000</v>
      </c>
      <c r="R58" s="56"/>
      <c r="S58" s="55">
        <v>1648.89</v>
      </c>
      <c r="T58" s="56"/>
      <c r="V58" s="55">
        <v>2000</v>
      </c>
      <c r="X58" s="55">
        <v>718</v>
      </c>
      <c r="Z58" s="55">
        <v>3000</v>
      </c>
      <c r="AB58" s="66">
        <v>1959.5</v>
      </c>
      <c r="AD58" s="60">
        <v>2000</v>
      </c>
      <c r="AE58" s="148"/>
      <c r="AF58" s="65">
        <f>1098.92+1465.85</f>
        <v>2564.77</v>
      </c>
      <c r="AG58" s="148"/>
      <c r="AH58" s="65">
        <v>2000</v>
      </c>
      <c r="AJ58" s="65">
        <v>2000</v>
      </c>
      <c r="AL58" s="6" t="e">
        <f>#REF!</f>
        <v>#REF!</v>
      </c>
      <c r="AN58" s="8">
        <v>2000</v>
      </c>
      <c r="AP58" s="13">
        <f>'17-18'!B89</f>
        <v>2093.9</v>
      </c>
      <c r="AQ58" s="14"/>
      <c r="AR58" s="13">
        <f t="shared" si="1"/>
        <v>-93.900000000000091</v>
      </c>
      <c r="AS58" s="15"/>
      <c r="AT58" s="13">
        <v>1956.4</v>
      </c>
      <c r="AU58" s="56"/>
      <c r="AV58" s="40"/>
      <c r="AW58" s="55">
        <v>2000</v>
      </c>
      <c r="AX58" s="40"/>
      <c r="AY58" s="55">
        <v>718</v>
      </c>
      <c r="AZ58" s="40"/>
      <c r="BA58" s="55">
        <v>3000</v>
      </c>
      <c r="BB58" s="40"/>
      <c r="BC58" s="66">
        <v>1959.5</v>
      </c>
      <c r="BD58" s="40"/>
      <c r="BE58" s="60">
        <v>2000</v>
      </c>
      <c r="BF58" s="62"/>
      <c r="BG58" s="65">
        <f>1098.92+1465.85</f>
        <v>2564.77</v>
      </c>
      <c r="BH58" s="62"/>
      <c r="BI58" s="65">
        <v>2000</v>
      </c>
      <c r="BJ58" s="40"/>
      <c r="BK58" s="65">
        <v>2000</v>
      </c>
      <c r="BL58" s="40"/>
      <c r="BM58" s="6" t="e">
        <f>#REF!</f>
        <v>#REF!</v>
      </c>
      <c r="BN58" s="40"/>
      <c r="BO58" s="8">
        <v>2000</v>
      </c>
      <c r="BP58" s="40"/>
      <c r="BQ58" s="132">
        <v>1000</v>
      </c>
      <c r="BR58" s="14"/>
      <c r="BS58" s="16">
        <v>749.81</v>
      </c>
      <c r="BU58" s="132">
        <v>1000</v>
      </c>
    </row>
    <row r="59" spans="1:73" x14ac:dyDescent="0.3">
      <c r="A59" s="41"/>
      <c r="B59" s="41"/>
      <c r="C59" s="41"/>
      <c r="D59" s="41"/>
      <c r="E59" s="41" t="s">
        <v>670</v>
      </c>
      <c r="F59" s="41"/>
      <c r="G59" s="55">
        <v>585</v>
      </c>
      <c r="H59" s="56"/>
      <c r="I59" s="55">
        <v>300</v>
      </c>
      <c r="J59" s="56"/>
      <c r="K59" s="55">
        <v>703.92</v>
      </c>
      <c r="L59" s="56"/>
      <c r="M59" s="55">
        <v>300</v>
      </c>
      <c r="N59" s="56"/>
      <c r="O59" s="55">
        <v>300</v>
      </c>
      <c r="P59" s="56"/>
      <c r="Q59" s="55">
        <v>1000</v>
      </c>
      <c r="R59" s="56"/>
      <c r="S59" s="55">
        <v>1012.49</v>
      </c>
      <c r="T59" s="56"/>
      <c r="V59" s="55">
        <v>1000</v>
      </c>
      <c r="X59" s="55">
        <v>1024</v>
      </c>
      <c r="Z59" s="55">
        <v>1000</v>
      </c>
      <c r="AB59" s="66">
        <v>1926.41</v>
      </c>
      <c r="AD59" s="60">
        <v>1000</v>
      </c>
      <c r="AE59" s="148"/>
      <c r="AF59" s="65">
        <v>1823.64</v>
      </c>
      <c r="AG59" s="148"/>
      <c r="AH59" s="65">
        <v>1000</v>
      </c>
      <c r="AJ59" s="65">
        <v>1000</v>
      </c>
      <c r="AL59" s="66">
        <v>0</v>
      </c>
      <c r="AN59" s="8">
        <v>1500</v>
      </c>
      <c r="AP59" s="13">
        <f>'17-18'!B93</f>
        <v>1206.8399999999999</v>
      </c>
      <c r="AQ59" s="14"/>
      <c r="AR59" s="13">
        <f t="shared" si="1"/>
        <v>293.16000000000008</v>
      </c>
      <c r="AS59" s="15"/>
      <c r="AT59" s="13">
        <v>1416.51</v>
      </c>
      <c r="AU59" s="56"/>
      <c r="AV59" s="40"/>
      <c r="AW59" s="55">
        <v>1000</v>
      </c>
      <c r="AX59" s="40"/>
      <c r="AY59" s="55">
        <v>1024</v>
      </c>
      <c r="AZ59" s="40"/>
      <c r="BA59" s="55">
        <v>1000</v>
      </c>
      <c r="BB59" s="40"/>
      <c r="BC59" s="66">
        <v>1926.41</v>
      </c>
      <c r="BD59" s="40"/>
      <c r="BE59" s="60">
        <v>1000</v>
      </c>
      <c r="BF59" s="62"/>
      <c r="BG59" s="65">
        <v>1823.64</v>
      </c>
      <c r="BH59" s="62"/>
      <c r="BI59" s="65">
        <v>1000</v>
      </c>
      <c r="BJ59" s="40"/>
      <c r="BK59" s="65">
        <v>1000</v>
      </c>
      <c r="BL59" s="40"/>
      <c r="BM59" s="66">
        <v>0</v>
      </c>
      <c r="BN59" s="40"/>
      <c r="BO59" s="8">
        <v>1500</v>
      </c>
      <c r="BP59" s="40"/>
      <c r="BQ59" s="132">
        <v>2000</v>
      </c>
      <c r="BR59" s="14"/>
      <c r="BS59" s="16">
        <v>1198.56</v>
      </c>
      <c r="BU59" s="132">
        <v>2000</v>
      </c>
    </row>
    <row r="60" spans="1:73" x14ac:dyDescent="0.3">
      <c r="A60" s="41"/>
      <c r="B60" s="41"/>
      <c r="C60" s="41"/>
      <c r="D60" s="41"/>
      <c r="E60" s="41" t="s">
        <v>671</v>
      </c>
      <c r="F60" s="41"/>
      <c r="G60" s="55">
        <v>51</v>
      </c>
      <c r="H60" s="56"/>
      <c r="I60" s="55">
        <v>300</v>
      </c>
      <c r="J60" s="56"/>
      <c r="K60" s="55">
        <v>185.93</v>
      </c>
      <c r="L60" s="56"/>
      <c r="M60" s="55">
        <v>300</v>
      </c>
      <c r="N60" s="56"/>
      <c r="O60" s="55">
        <v>300</v>
      </c>
      <c r="P60" s="56"/>
      <c r="Q60" s="55">
        <v>300</v>
      </c>
      <c r="R60" s="56"/>
      <c r="S60" s="55">
        <v>287.58999999999997</v>
      </c>
      <c r="T60" s="56"/>
      <c r="V60" s="55">
        <v>300</v>
      </c>
      <c r="X60" s="55">
        <v>320</v>
      </c>
      <c r="Z60" s="55">
        <v>300</v>
      </c>
      <c r="AB60" s="66">
        <v>295.92</v>
      </c>
      <c r="AD60" s="60">
        <v>300</v>
      </c>
      <c r="AE60" s="148"/>
      <c r="AF60" s="65">
        <v>337.34</v>
      </c>
      <c r="AG60" s="148"/>
      <c r="AH60" s="65">
        <v>300</v>
      </c>
      <c r="AJ60" s="65">
        <v>300</v>
      </c>
      <c r="AL60" s="66" t="e">
        <f>#REF!</f>
        <v>#REF!</v>
      </c>
      <c r="AN60" s="8">
        <v>300</v>
      </c>
      <c r="AP60" s="13">
        <f>'17-18'!B96</f>
        <v>223.2</v>
      </c>
      <c r="AQ60" s="14"/>
      <c r="AR60" s="13">
        <f t="shared" si="1"/>
        <v>76.800000000000011</v>
      </c>
      <c r="AS60" s="15"/>
      <c r="AT60" s="13">
        <v>228</v>
      </c>
      <c r="AU60" s="56"/>
      <c r="AV60" s="40"/>
      <c r="AW60" s="55">
        <v>300</v>
      </c>
      <c r="AX60" s="40"/>
      <c r="AY60" s="55">
        <v>320</v>
      </c>
      <c r="AZ60" s="40"/>
      <c r="BA60" s="55">
        <v>300</v>
      </c>
      <c r="BB60" s="40"/>
      <c r="BC60" s="66">
        <v>295.92</v>
      </c>
      <c r="BD60" s="40"/>
      <c r="BE60" s="60">
        <v>300</v>
      </c>
      <c r="BF60" s="62"/>
      <c r="BG60" s="65">
        <v>337.34</v>
      </c>
      <c r="BH60" s="62"/>
      <c r="BI60" s="65">
        <v>300</v>
      </c>
      <c r="BJ60" s="40"/>
      <c r="BK60" s="65">
        <v>300</v>
      </c>
      <c r="BL60" s="40"/>
      <c r="BM60" s="66" t="e">
        <f>#REF!</f>
        <v>#REF!</v>
      </c>
      <c r="BN60" s="40"/>
      <c r="BO60" s="8">
        <v>300</v>
      </c>
      <c r="BP60" s="40"/>
      <c r="BQ60" s="132">
        <v>500</v>
      </c>
      <c r="BR60" s="14"/>
      <c r="BS60" s="16">
        <v>543.92999999999995</v>
      </c>
      <c r="BU60" s="132">
        <v>500</v>
      </c>
    </row>
    <row r="61" spans="1:73" ht="14.5" thickBot="1" x14ac:dyDescent="0.35">
      <c r="A61" s="41"/>
      <c r="B61" s="41"/>
      <c r="C61" s="41"/>
      <c r="D61" s="41"/>
      <c r="E61" s="41" t="s">
        <v>672</v>
      </c>
      <c r="F61" s="41"/>
      <c r="G61" s="68">
        <v>257</v>
      </c>
      <c r="H61" s="56"/>
      <c r="I61" s="68">
        <v>1000</v>
      </c>
      <c r="J61" s="56"/>
      <c r="K61" s="68">
        <v>-45</v>
      </c>
      <c r="L61" s="56"/>
      <c r="M61" s="68">
        <v>1000</v>
      </c>
      <c r="N61" s="56"/>
      <c r="O61" s="68">
        <v>1000</v>
      </c>
      <c r="P61" s="56"/>
      <c r="Q61" s="68">
        <v>300</v>
      </c>
      <c r="R61" s="56"/>
      <c r="S61" s="68">
        <v>348.71</v>
      </c>
      <c r="T61" s="56"/>
      <c r="V61" s="68">
        <v>300</v>
      </c>
      <c r="X61" s="68">
        <v>624</v>
      </c>
      <c r="Z61" s="68">
        <v>300</v>
      </c>
      <c r="AB61" s="68">
        <v>425</v>
      </c>
      <c r="AD61" s="69">
        <v>300</v>
      </c>
      <c r="AE61" s="148"/>
      <c r="AF61" s="84">
        <v>642.6</v>
      </c>
      <c r="AG61" s="148"/>
      <c r="AH61" s="84">
        <v>300</v>
      </c>
      <c r="AJ61" s="84">
        <v>300</v>
      </c>
      <c r="AL61" s="85" t="e">
        <f>#REF!</f>
        <v>#REF!</v>
      </c>
      <c r="AN61" s="9">
        <v>600</v>
      </c>
      <c r="AP61" s="17">
        <f>'17-18'!B99</f>
        <v>570.05999999999995</v>
      </c>
      <c r="AQ61" s="14"/>
      <c r="AR61" s="17">
        <f t="shared" si="1"/>
        <v>29.940000000000055</v>
      </c>
      <c r="AS61" s="15"/>
      <c r="AT61" s="17">
        <v>276.60000000000002</v>
      </c>
      <c r="AU61" s="56"/>
      <c r="AV61" s="40"/>
      <c r="AW61" s="68">
        <v>300</v>
      </c>
      <c r="AX61" s="40"/>
      <c r="AY61" s="68">
        <v>624</v>
      </c>
      <c r="AZ61" s="40"/>
      <c r="BA61" s="68">
        <v>300</v>
      </c>
      <c r="BB61" s="40"/>
      <c r="BC61" s="68">
        <v>425</v>
      </c>
      <c r="BD61" s="40"/>
      <c r="BE61" s="69">
        <v>300</v>
      </c>
      <c r="BF61" s="62"/>
      <c r="BG61" s="84">
        <v>642.6</v>
      </c>
      <c r="BH61" s="62"/>
      <c r="BI61" s="84">
        <v>300</v>
      </c>
      <c r="BJ61" s="40"/>
      <c r="BK61" s="84">
        <v>300</v>
      </c>
      <c r="BL61" s="40"/>
      <c r="BM61" s="85" t="e">
        <f>#REF!</f>
        <v>#REF!</v>
      </c>
      <c r="BN61" s="40"/>
      <c r="BO61" s="9">
        <v>600</v>
      </c>
      <c r="BP61" s="40"/>
      <c r="BQ61" s="133">
        <v>1500</v>
      </c>
      <c r="BR61" s="14"/>
      <c r="BS61" s="21">
        <v>134.91</v>
      </c>
      <c r="BU61" s="133">
        <v>1500</v>
      </c>
    </row>
    <row r="62" spans="1:73" x14ac:dyDescent="0.3">
      <c r="A62" s="41"/>
      <c r="B62" s="41"/>
      <c r="C62" s="41"/>
      <c r="D62" s="70" t="s">
        <v>673</v>
      </c>
      <c r="E62" s="70"/>
      <c r="F62" s="70"/>
      <c r="G62" s="55">
        <f>ROUND(SUM(G57:G61),5)</f>
        <v>893</v>
      </c>
      <c r="H62" s="56"/>
      <c r="I62" s="55">
        <f>ROUND(SUM(I57:I61),5)</f>
        <v>1600</v>
      </c>
      <c r="J62" s="56"/>
      <c r="K62" s="55">
        <f>ROUND(SUM(K57:K61),5)</f>
        <v>844.85</v>
      </c>
      <c r="L62" s="56"/>
      <c r="M62" s="55">
        <f>ROUND(SUM(M57:M61),5)</f>
        <v>3600</v>
      </c>
      <c r="N62" s="56"/>
      <c r="O62" s="55">
        <f>ROUND(SUM(O57:O61),5)</f>
        <v>3600</v>
      </c>
      <c r="P62" s="56"/>
      <c r="Q62" s="55">
        <f>ROUND(SUM(Q57:Q61),5)</f>
        <v>3600</v>
      </c>
      <c r="R62" s="56"/>
      <c r="S62" s="55">
        <f>ROUND(SUM(S57:S61),5)</f>
        <v>3297.68</v>
      </c>
      <c r="T62" s="56"/>
      <c r="V62" s="55">
        <f>ROUND(SUM(V57:V61),5)</f>
        <v>3600</v>
      </c>
      <c r="X62" s="55">
        <f>SUM(X58:X61)</f>
        <v>2686</v>
      </c>
      <c r="Z62" s="55">
        <f>SUM(Z58:Z61)</f>
        <v>4600</v>
      </c>
      <c r="AB62" s="86">
        <f>SUM(AB58:AB61)</f>
        <v>4606.83</v>
      </c>
      <c r="AD62" s="60">
        <f>SUM(AD58:AD61)</f>
        <v>3600</v>
      </c>
      <c r="AE62" s="148"/>
      <c r="AF62" s="81">
        <v>5368.35</v>
      </c>
      <c r="AG62" s="148"/>
      <c r="AH62" s="80">
        <f>SUM(AH58:AH61)</f>
        <v>3600</v>
      </c>
      <c r="AJ62" s="80">
        <f>SUM(AJ58:AJ61)</f>
        <v>3600</v>
      </c>
      <c r="AL62" s="7" t="e">
        <f>SUM(AL58:AL61)</f>
        <v>#REF!</v>
      </c>
      <c r="AN62" s="10">
        <f>SUM(AN58:AN61)</f>
        <v>4400</v>
      </c>
      <c r="AP62" s="18">
        <f>SUM(AP58:AP61)</f>
        <v>4093.9999999999995</v>
      </c>
      <c r="AQ62" s="19"/>
      <c r="AR62" s="18">
        <f t="shared" si="1"/>
        <v>306.00000000000045</v>
      </c>
      <c r="AS62" s="15"/>
      <c r="AT62" s="18">
        <v>3877.51</v>
      </c>
      <c r="AU62" s="56"/>
      <c r="AV62" s="40"/>
      <c r="AW62" s="55">
        <f>ROUND(SUM(AW57:AW61),5)</f>
        <v>3600</v>
      </c>
      <c r="AX62" s="40"/>
      <c r="AY62" s="55">
        <f>SUM(AY58:AY61)</f>
        <v>2686</v>
      </c>
      <c r="AZ62" s="40"/>
      <c r="BA62" s="55">
        <f>SUM(BA58:BA61)</f>
        <v>4600</v>
      </c>
      <c r="BB62" s="40"/>
      <c r="BC62" s="86">
        <f>SUM(BC58:BC61)</f>
        <v>4606.83</v>
      </c>
      <c r="BD62" s="40"/>
      <c r="BE62" s="60">
        <f>SUM(BE58:BE61)</f>
        <v>3600</v>
      </c>
      <c r="BF62" s="62"/>
      <c r="BG62" s="81">
        <v>5368.35</v>
      </c>
      <c r="BH62" s="62"/>
      <c r="BI62" s="80">
        <f>SUM(BI58:BI61)</f>
        <v>3600</v>
      </c>
      <c r="BJ62" s="40"/>
      <c r="BK62" s="80">
        <f>SUM(BK58:BK61)</f>
        <v>3600</v>
      </c>
      <c r="BL62" s="40"/>
      <c r="BM62" s="7" t="e">
        <f>SUM(BM58:BM61)</f>
        <v>#REF!</v>
      </c>
      <c r="BN62" s="40"/>
      <c r="BO62" s="10">
        <f>SUM(BO58:BO61)</f>
        <v>4400</v>
      </c>
      <c r="BP62" s="40"/>
      <c r="BQ62" s="126">
        <f>SUM(BQ58:BQ61)</f>
        <v>5000</v>
      </c>
      <c r="BR62" s="19"/>
      <c r="BS62" s="22">
        <f>SUM(BS57:BS61)</f>
        <v>2627.2099999999996</v>
      </c>
      <c r="BU62" s="126">
        <f>SUM(BU58:BU61)</f>
        <v>5000</v>
      </c>
    </row>
    <row r="63" spans="1:73" x14ac:dyDescent="0.3">
      <c r="A63" s="41"/>
      <c r="B63" s="41"/>
      <c r="C63" s="41"/>
      <c r="D63" s="41" t="s">
        <v>574</v>
      </c>
      <c r="E63" s="41"/>
      <c r="F63" s="41"/>
      <c r="G63" s="55"/>
      <c r="H63" s="56"/>
      <c r="I63" s="55"/>
      <c r="J63" s="56"/>
      <c r="K63" s="55"/>
      <c r="L63" s="56"/>
      <c r="M63" s="55"/>
      <c r="N63" s="56"/>
      <c r="O63" s="55"/>
      <c r="P63" s="56"/>
      <c r="Q63" s="55"/>
      <c r="R63" s="56"/>
      <c r="S63" s="55"/>
      <c r="T63" s="56"/>
      <c r="V63" s="55"/>
      <c r="X63" s="55"/>
      <c r="Z63" s="55"/>
      <c r="AB63" s="66"/>
      <c r="AD63" s="148"/>
      <c r="AE63" s="148"/>
      <c r="AF63" s="65"/>
      <c r="AG63" s="148"/>
      <c r="AH63" s="62"/>
      <c r="AJ63" s="62"/>
      <c r="AL63" s="66"/>
      <c r="AN63" s="8"/>
      <c r="AP63" s="13"/>
      <c r="AQ63" s="14"/>
      <c r="AR63" s="13"/>
      <c r="AS63" s="15"/>
      <c r="AT63" s="13"/>
      <c r="AU63" s="56"/>
      <c r="AV63" s="40"/>
      <c r="AW63" s="55"/>
      <c r="AX63" s="40"/>
      <c r="AY63" s="55"/>
      <c r="AZ63" s="40"/>
      <c r="BA63" s="55"/>
      <c r="BB63" s="40"/>
      <c r="BC63" s="66"/>
      <c r="BD63" s="40"/>
      <c r="BE63" s="62"/>
      <c r="BF63" s="62"/>
      <c r="BG63" s="65"/>
      <c r="BH63" s="62"/>
      <c r="BI63" s="62"/>
      <c r="BJ63" s="40"/>
      <c r="BK63" s="62"/>
      <c r="BL63" s="40"/>
      <c r="BM63" s="66"/>
      <c r="BN63" s="40"/>
      <c r="BO63" s="8"/>
      <c r="BP63" s="40"/>
      <c r="BQ63" s="132"/>
      <c r="BR63" s="14"/>
      <c r="BS63" s="16"/>
      <c r="BU63" s="132"/>
    </row>
    <row r="64" spans="1:73" x14ac:dyDescent="0.3">
      <c r="A64" s="41"/>
      <c r="B64" s="41"/>
      <c r="C64" s="41"/>
      <c r="D64" s="41"/>
      <c r="E64" s="64" t="s">
        <v>165</v>
      </c>
      <c r="F64" s="41"/>
      <c r="G64" s="55">
        <v>135</v>
      </c>
      <c r="H64" s="56"/>
      <c r="I64" s="55">
        <v>1913.6</v>
      </c>
      <c r="J64" s="56"/>
      <c r="K64" s="55">
        <v>1913.6</v>
      </c>
      <c r="L64" s="56"/>
      <c r="M64" s="55">
        <v>280</v>
      </c>
      <c r="N64" s="56"/>
      <c r="O64" s="55">
        <v>280</v>
      </c>
      <c r="P64" s="56"/>
      <c r="Q64" s="55">
        <v>280</v>
      </c>
      <c r="R64" s="56"/>
      <c r="S64" s="55">
        <v>235</v>
      </c>
      <c r="T64" s="56"/>
      <c r="V64" s="55">
        <v>300</v>
      </c>
      <c r="X64" s="55">
        <v>300</v>
      </c>
      <c r="Z64" s="55">
        <v>300</v>
      </c>
      <c r="AB64" s="66">
        <v>0</v>
      </c>
      <c r="AD64" s="60">
        <v>300</v>
      </c>
      <c r="AE64" s="148"/>
      <c r="AF64" s="65">
        <v>335</v>
      </c>
      <c r="AG64" s="148"/>
      <c r="AH64" s="65">
        <v>335</v>
      </c>
      <c r="AJ64" s="65">
        <v>335</v>
      </c>
      <c r="AL64" s="66">
        <v>0</v>
      </c>
      <c r="AN64" s="8">
        <v>335</v>
      </c>
      <c r="AP64" s="13"/>
      <c r="AQ64" s="14"/>
      <c r="AR64" s="13">
        <f t="shared" si="1"/>
        <v>335</v>
      </c>
      <c r="AS64" s="15"/>
      <c r="AT64" s="13">
        <v>335</v>
      </c>
      <c r="AU64" s="56"/>
      <c r="AV64" s="40"/>
      <c r="AW64" s="55">
        <v>300</v>
      </c>
      <c r="AX64" s="40"/>
      <c r="AY64" s="55">
        <v>300</v>
      </c>
      <c r="AZ64" s="40"/>
      <c r="BA64" s="55">
        <v>300</v>
      </c>
      <c r="BB64" s="40"/>
      <c r="BC64" s="66">
        <v>0</v>
      </c>
      <c r="BD64" s="40"/>
      <c r="BE64" s="60">
        <v>300</v>
      </c>
      <c r="BF64" s="62"/>
      <c r="BG64" s="65">
        <v>335</v>
      </c>
      <c r="BH64" s="62"/>
      <c r="BI64" s="65">
        <v>335</v>
      </c>
      <c r="BJ64" s="40"/>
      <c r="BK64" s="65">
        <v>335</v>
      </c>
      <c r="BL64" s="40"/>
      <c r="BM64" s="66">
        <v>0</v>
      </c>
      <c r="BN64" s="40"/>
      <c r="BO64" s="8">
        <v>335</v>
      </c>
      <c r="BP64" s="40"/>
      <c r="BQ64" s="132">
        <v>350</v>
      </c>
      <c r="BR64" s="14"/>
      <c r="BS64" s="16">
        <v>350</v>
      </c>
      <c r="BU64" s="132">
        <v>350</v>
      </c>
    </row>
    <row r="65" spans="1:73" x14ac:dyDescent="0.3">
      <c r="A65" s="41"/>
      <c r="B65" s="41"/>
      <c r="C65" s="41"/>
      <c r="D65" s="41"/>
      <c r="E65" s="41" t="s">
        <v>674</v>
      </c>
      <c r="F65" s="41"/>
      <c r="G65" s="55">
        <v>1800</v>
      </c>
      <c r="H65" s="56"/>
      <c r="I65" s="55">
        <v>1800</v>
      </c>
      <c r="J65" s="56"/>
      <c r="K65" s="55">
        <v>1794.73</v>
      </c>
      <c r="L65" s="56"/>
      <c r="M65" s="55">
        <v>1800</v>
      </c>
      <c r="N65" s="56"/>
      <c r="O65" s="55">
        <v>1800</v>
      </c>
      <c r="P65" s="56"/>
      <c r="Q65" s="55">
        <v>1000</v>
      </c>
      <c r="R65" s="55"/>
      <c r="S65" s="55">
        <v>808.02</v>
      </c>
      <c r="T65" s="55"/>
      <c r="U65" s="55"/>
      <c r="V65" s="55">
        <v>2100</v>
      </c>
      <c r="W65" s="55"/>
      <c r="X65" s="55">
        <v>1329</v>
      </c>
      <c r="Y65" s="55"/>
      <c r="Z65" s="55">
        <v>2300</v>
      </c>
      <c r="AB65" s="66">
        <v>1937.89</v>
      </c>
      <c r="AD65" s="60">
        <v>2000</v>
      </c>
      <c r="AE65" s="148"/>
      <c r="AF65" s="65">
        <f>5467.61</f>
        <v>5467.61</v>
      </c>
      <c r="AG65" s="148"/>
      <c r="AH65" s="65">
        <v>2000</v>
      </c>
      <c r="AI65" s="40"/>
      <c r="AJ65" s="65">
        <v>2000</v>
      </c>
      <c r="AL65" s="6" t="e">
        <f>#REF!</f>
        <v>#REF!</v>
      </c>
      <c r="AN65" s="8">
        <v>2000</v>
      </c>
      <c r="AP65" s="13">
        <f>'17-18'!B105</f>
        <v>1447.5</v>
      </c>
      <c r="AQ65" s="14"/>
      <c r="AR65" s="13">
        <f t="shared" si="1"/>
        <v>552.5</v>
      </c>
      <c r="AS65" s="15"/>
      <c r="AT65" s="13">
        <v>2271.09</v>
      </c>
      <c r="AU65" s="55"/>
      <c r="AV65" s="55"/>
      <c r="AW65" s="55">
        <v>2100</v>
      </c>
      <c r="AX65" s="55"/>
      <c r="AY65" s="55">
        <v>1329</v>
      </c>
      <c r="AZ65" s="55"/>
      <c r="BA65" s="55">
        <v>2300</v>
      </c>
      <c r="BB65" s="40"/>
      <c r="BC65" s="66">
        <v>1937.89</v>
      </c>
      <c r="BD65" s="40"/>
      <c r="BE65" s="60">
        <v>2000</v>
      </c>
      <c r="BF65" s="62"/>
      <c r="BG65" s="65">
        <f>5467.61</f>
        <v>5467.61</v>
      </c>
      <c r="BH65" s="62"/>
      <c r="BI65" s="65">
        <v>2000</v>
      </c>
      <c r="BJ65" s="40"/>
      <c r="BK65" s="65">
        <v>2000</v>
      </c>
      <c r="BL65" s="40"/>
      <c r="BM65" s="6" t="e">
        <f>#REF!</f>
        <v>#REF!</v>
      </c>
      <c r="BN65" s="40"/>
      <c r="BO65" s="8">
        <v>2000</v>
      </c>
      <c r="BP65" s="40"/>
      <c r="BQ65" s="132">
        <v>2000</v>
      </c>
      <c r="BR65" s="14"/>
      <c r="BS65" s="16">
        <v>1900</v>
      </c>
      <c r="BU65" s="132">
        <v>2000</v>
      </c>
    </row>
    <row r="66" spans="1:73" x14ac:dyDescent="0.3">
      <c r="A66" s="41"/>
      <c r="B66" s="41"/>
      <c r="C66" s="41"/>
      <c r="D66" s="41"/>
      <c r="E66" s="41" t="s">
        <v>675</v>
      </c>
      <c r="F66" s="41"/>
      <c r="G66" s="55">
        <v>0</v>
      </c>
      <c r="H66" s="56"/>
      <c r="I66" s="55">
        <v>320</v>
      </c>
      <c r="J66" s="56"/>
      <c r="K66" s="55">
        <v>320</v>
      </c>
      <c r="L66" s="56"/>
      <c r="M66" s="55">
        <v>320</v>
      </c>
      <c r="N66" s="56"/>
      <c r="O66" s="55">
        <v>320</v>
      </c>
      <c r="P66" s="56"/>
      <c r="Q66" s="55">
        <v>320</v>
      </c>
      <c r="R66" s="56"/>
      <c r="S66" s="55">
        <v>400</v>
      </c>
      <c r="T66" s="56"/>
      <c r="U66" s="55"/>
      <c r="V66" s="55">
        <v>400</v>
      </c>
      <c r="W66" s="55"/>
      <c r="X66" s="55">
        <v>425</v>
      </c>
      <c r="Y66" s="55"/>
      <c r="Z66" s="55">
        <v>400</v>
      </c>
      <c r="AB66" s="66">
        <v>510</v>
      </c>
      <c r="AD66" s="60">
        <v>400</v>
      </c>
      <c r="AE66" s="148"/>
      <c r="AF66" s="65">
        <v>510</v>
      </c>
      <c r="AG66" s="148"/>
      <c r="AH66" s="65">
        <v>500</v>
      </c>
      <c r="AJ66" s="65">
        <v>500</v>
      </c>
      <c r="AL66" s="66" t="e">
        <f>#REF!</f>
        <v>#REF!</v>
      </c>
      <c r="AN66" s="8">
        <v>500</v>
      </c>
      <c r="AP66" s="13">
        <f>'17-18'!B102</f>
        <v>474</v>
      </c>
      <c r="AQ66" s="14"/>
      <c r="AR66" s="13">
        <f t="shared" si="1"/>
        <v>26</v>
      </c>
      <c r="AS66" s="15"/>
      <c r="AT66" s="13">
        <v>528</v>
      </c>
      <c r="AU66" s="56"/>
      <c r="AV66" s="55"/>
      <c r="AW66" s="55">
        <v>400</v>
      </c>
      <c r="AX66" s="55"/>
      <c r="AY66" s="55">
        <v>425</v>
      </c>
      <c r="AZ66" s="55"/>
      <c r="BA66" s="55">
        <v>400</v>
      </c>
      <c r="BB66" s="40"/>
      <c r="BC66" s="66">
        <v>510</v>
      </c>
      <c r="BD66" s="40"/>
      <c r="BE66" s="60">
        <v>400</v>
      </c>
      <c r="BF66" s="62"/>
      <c r="BG66" s="65">
        <v>510</v>
      </c>
      <c r="BH66" s="62"/>
      <c r="BI66" s="65">
        <v>500</v>
      </c>
      <c r="BJ66" s="40"/>
      <c r="BK66" s="65">
        <v>500</v>
      </c>
      <c r="BL66" s="40"/>
      <c r="BM66" s="66" t="e">
        <f>#REF!</f>
        <v>#REF!</v>
      </c>
      <c r="BN66" s="40"/>
      <c r="BO66" s="8">
        <v>500</v>
      </c>
      <c r="BP66" s="40"/>
      <c r="BQ66" s="132">
        <v>550</v>
      </c>
      <c r="BR66" s="14"/>
      <c r="BS66" s="16">
        <v>629</v>
      </c>
      <c r="BU66" s="132">
        <v>700</v>
      </c>
    </row>
    <row r="67" spans="1:73" x14ac:dyDescent="0.3">
      <c r="A67" s="41"/>
      <c r="B67" s="41"/>
      <c r="C67" s="41"/>
      <c r="D67" s="41"/>
      <c r="E67" s="41" t="s">
        <v>676</v>
      </c>
      <c r="F67" s="41"/>
      <c r="G67" s="55">
        <v>839</v>
      </c>
      <c r="H67" s="56"/>
      <c r="I67" s="55">
        <v>870</v>
      </c>
      <c r="J67" s="56"/>
      <c r="K67" s="55">
        <v>998</v>
      </c>
      <c r="L67" s="56"/>
      <c r="M67" s="55">
        <v>1000</v>
      </c>
      <c r="N67" s="56"/>
      <c r="O67" s="55">
        <v>1000</v>
      </c>
      <c r="P67" s="56"/>
      <c r="Q67" s="55">
        <v>1000</v>
      </c>
      <c r="R67" s="56"/>
      <c r="S67" s="55">
        <v>899.75</v>
      </c>
      <c r="T67" s="56"/>
      <c r="U67" s="55"/>
      <c r="V67" s="55">
        <v>1000</v>
      </c>
      <c r="W67" s="55"/>
      <c r="X67" s="55">
        <v>961</v>
      </c>
      <c r="Y67" s="55"/>
      <c r="Z67" s="55">
        <v>1000</v>
      </c>
      <c r="AB67" s="66">
        <v>992.25</v>
      </c>
      <c r="AD67" s="60">
        <v>1000</v>
      </c>
      <c r="AE67" s="148"/>
      <c r="AF67" s="62">
        <v>1021.75</v>
      </c>
      <c r="AG67" s="148"/>
      <c r="AH67" s="65">
        <v>1000</v>
      </c>
      <c r="AJ67" s="65">
        <v>1000</v>
      </c>
      <c r="AL67" s="6" t="e">
        <f>#REF!</f>
        <v>#REF!</v>
      </c>
      <c r="AN67" s="8">
        <v>1100</v>
      </c>
      <c r="AP67" s="13">
        <f>'17-18'!B106</f>
        <v>1037</v>
      </c>
      <c r="AQ67" s="14"/>
      <c r="AR67" s="13">
        <f t="shared" si="1"/>
        <v>63</v>
      </c>
      <c r="AS67" s="15"/>
      <c r="AT67" s="13">
        <v>1037</v>
      </c>
      <c r="AU67" s="56"/>
      <c r="AV67" s="55"/>
      <c r="AW67" s="55">
        <v>1000</v>
      </c>
      <c r="AX67" s="55"/>
      <c r="AY67" s="55">
        <v>961</v>
      </c>
      <c r="AZ67" s="55"/>
      <c r="BA67" s="55">
        <v>1000</v>
      </c>
      <c r="BB67" s="40"/>
      <c r="BC67" s="66">
        <v>992.25</v>
      </c>
      <c r="BD67" s="40"/>
      <c r="BE67" s="60">
        <v>1000</v>
      </c>
      <c r="BF67" s="62"/>
      <c r="BG67" s="62">
        <v>1021.75</v>
      </c>
      <c r="BH67" s="62"/>
      <c r="BI67" s="65">
        <v>1000</v>
      </c>
      <c r="BJ67" s="40"/>
      <c r="BK67" s="65">
        <v>1000</v>
      </c>
      <c r="BL67" s="40"/>
      <c r="BM67" s="6" t="e">
        <f>#REF!</f>
        <v>#REF!</v>
      </c>
      <c r="BN67" s="40"/>
      <c r="BO67" s="8">
        <v>1100</v>
      </c>
      <c r="BP67" s="40"/>
      <c r="BQ67" s="132">
        <v>1500</v>
      </c>
      <c r="BR67" s="14"/>
      <c r="BS67" s="16">
        <v>1557.5</v>
      </c>
      <c r="BU67" s="132">
        <v>1600</v>
      </c>
    </row>
    <row r="68" spans="1:73" x14ac:dyDescent="0.3">
      <c r="A68" s="41"/>
      <c r="B68" s="41"/>
      <c r="C68" s="41"/>
      <c r="D68" s="41"/>
      <c r="E68" s="168" t="s">
        <v>677</v>
      </c>
      <c r="F68" s="168"/>
      <c r="G68" s="78">
        <v>0</v>
      </c>
      <c r="H68" s="123"/>
      <c r="I68" s="78">
        <v>500</v>
      </c>
      <c r="J68" s="123"/>
      <c r="K68" s="78">
        <v>504.5</v>
      </c>
      <c r="L68" s="123"/>
      <c r="M68" s="78">
        <v>500</v>
      </c>
      <c r="N68" s="123"/>
      <c r="O68" s="78">
        <v>500</v>
      </c>
      <c r="P68" s="123"/>
      <c r="Q68" s="78">
        <v>500</v>
      </c>
      <c r="R68" s="123"/>
      <c r="S68" s="78">
        <v>502.43</v>
      </c>
      <c r="T68" s="123"/>
      <c r="V68" s="78">
        <v>500</v>
      </c>
      <c r="X68" s="78">
        <v>507</v>
      </c>
      <c r="Z68" s="78">
        <v>500</v>
      </c>
      <c r="AB68" s="66">
        <v>0</v>
      </c>
      <c r="AD68" s="62">
        <v>500</v>
      </c>
      <c r="AE68" s="148"/>
      <c r="AF68" s="62">
        <v>19.95</v>
      </c>
      <c r="AG68" s="148"/>
      <c r="AH68" s="62">
        <v>500</v>
      </c>
      <c r="AJ68" s="62">
        <v>500</v>
      </c>
      <c r="AL68" s="66">
        <v>0</v>
      </c>
      <c r="AN68" s="8">
        <v>500</v>
      </c>
      <c r="AP68" s="13"/>
      <c r="AQ68" s="14"/>
      <c r="AR68" s="13">
        <f t="shared" si="1"/>
        <v>500</v>
      </c>
      <c r="AS68" s="14"/>
      <c r="AT68" s="13">
        <v>551.37</v>
      </c>
      <c r="AU68" s="123"/>
      <c r="AV68" s="40"/>
      <c r="AW68" s="78">
        <v>500</v>
      </c>
      <c r="AX68" s="40"/>
      <c r="AY68" s="78">
        <v>507</v>
      </c>
      <c r="AZ68" s="40"/>
      <c r="BA68" s="78">
        <v>500</v>
      </c>
      <c r="BB68" s="40"/>
      <c r="BC68" s="66">
        <v>0</v>
      </c>
      <c r="BD68" s="40"/>
      <c r="BE68" s="62">
        <v>500</v>
      </c>
      <c r="BF68" s="62"/>
      <c r="BG68" s="62">
        <v>19.95</v>
      </c>
      <c r="BH68" s="62"/>
      <c r="BI68" s="62">
        <v>500</v>
      </c>
      <c r="BJ68" s="40"/>
      <c r="BK68" s="62">
        <v>500</v>
      </c>
      <c r="BL68" s="40"/>
      <c r="BM68" s="66">
        <v>0</v>
      </c>
      <c r="BN68" s="40"/>
      <c r="BO68" s="8">
        <v>500</v>
      </c>
      <c r="BP68" s="40"/>
      <c r="BQ68" s="132">
        <v>2000</v>
      </c>
      <c r="BR68" s="14"/>
      <c r="BS68" s="16"/>
      <c r="BU68" s="132">
        <v>1000</v>
      </c>
    </row>
    <row r="69" spans="1:73" ht="14.5" thickBot="1" x14ac:dyDescent="0.35">
      <c r="A69" s="41"/>
      <c r="B69" s="41"/>
      <c r="C69" s="41"/>
      <c r="D69" s="41"/>
      <c r="E69" s="168" t="s">
        <v>678</v>
      </c>
      <c r="F69" s="168"/>
      <c r="G69" s="125">
        <v>89</v>
      </c>
      <c r="H69" s="123"/>
      <c r="I69" s="125">
        <v>650</v>
      </c>
      <c r="J69" s="123"/>
      <c r="K69" s="125">
        <v>636.69000000000005</v>
      </c>
      <c r="L69" s="123"/>
      <c r="M69" s="125">
        <v>500</v>
      </c>
      <c r="N69" s="123"/>
      <c r="O69" s="125">
        <v>500</v>
      </c>
      <c r="P69" s="123"/>
      <c r="Q69" s="125">
        <v>500</v>
      </c>
      <c r="R69" s="123"/>
      <c r="S69" s="125">
        <v>500</v>
      </c>
      <c r="T69" s="123"/>
      <c r="V69" s="125">
        <v>500</v>
      </c>
      <c r="X69" s="125">
        <v>0</v>
      </c>
      <c r="Z69" s="78">
        <v>1700</v>
      </c>
      <c r="AB69" s="78">
        <f>1190+1200</f>
        <v>2390</v>
      </c>
      <c r="AD69" s="62">
        <v>8800</v>
      </c>
      <c r="AE69" s="148"/>
      <c r="AF69" s="62">
        <v>6058.97</v>
      </c>
      <c r="AG69" s="148"/>
      <c r="AH69" s="62">
        <v>1500</v>
      </c>
      <c r="AI69" s="40"/>
      <c r="AJ69" s="62">
        <v>1500</v>
      </c>
      <c r="AL69" s="66">
        <v>0</v>
      </c>
      <c r="AN69" s="8">
        <v>1000</v>
      </c>
      <c r="AP69" s="13"/>
      <c r="AQ69" s="14"/>
      <c r="AR69" s="13">
        <f t="shared" si="1"/>
        <v>1000</v>
      </c>
      <c r="AS69" s="14"/>
      <c r="AT69" s="13">
        <v>1094.58</v>
      </c>
      <c r="AU69" s="123"/>
      <c r="AV69" s="40"/>
      <c r="AW69" s="125">
        <v>500</v>
      </c>
      <c r="AX69" s="40"/>
      <c r="AY69" s="125">
        <v>0</v>
      </c>
      <c r="AZ69" s="40"/>
      <c r="BA69" s="78">
        <v>1700</v>
      </c>
      <c r="BB69" s="40"/>
      <c r="BC69" s="78">
        <f>1190+1200</f>
        <v>2390</v>
      </c>
      <c r="BD69" s="40"/>
      <c r="BE69" s="62">
        <v>8800</v>
      </c>
      <c r="BF69" s="62"/>
      <c r="BG69" s="62">
        <v>6058.97</v>
      </c>
      <c r="BH69" s="62"/>
      <c r="BI69" s="62">
        <v>1500</v>
      </c>
      <c r="BJ69" s="40"/>
      <c r="BK69" s="62">
        <v>1500</v>
      </c>
      <c r="BL69" s="40"/>
      <c r="BM69" s="66">
        <v>0</v>
      </c>
      <c r="BN69" s="40"/>
      <c r="BO69" s="8">
        <v>1000</v>
      </c>
      <c r="BP69" s="40"/>
      <c r="BQ69" s="132">
        <v>1000</v>
      </c>
      <c r="BR69" s="14"/>
      <c r="BS69" s="16">
        <v>613.84</v>
      </c>
      <c r="BU69" s="132">
        <v>2000</v>
      </c>
    </row>
    <row r="70" spans="1:73" x14ac:dyDescent="0.3">
      <c r="A70" s="41"/>
      <c r="B70" s="41"/>
      <c r="C70" s="41"/>
      <c r="D70" s="41"/>
      <c r="E70" s="164" t="s">
        <v>844</v>
      </c>
      <c r="F70" s="164"/>
      <c r="G70" s="78"/>
      <c r="H70" s="123"/>
      <c r="I70" s="78"/>
      <c r="J70" s="123"/>
      <c r="K70" s="78"/>
      <c r="L70" s="123"/>
      <c r="M70" s="78"/>
      <c r="N70" s="123"/>
      <c r="O70" s="78"/>
      <c r="P70" s="123"/>
      <c r="Q70" s="78"/>
      <c r="R70" s="123"/>
      <c r="S70" s="78"/>
      <c r="T70" s="123"/>
      <c r="V70" s="78"/>
      <c r="X70" s="78"/>
      <c r="Z70" s="78"/>
      <c r="AB70" s="78"/>
      <c r="AD70" s="62"/>
      <c r="AE70" s="148"/>
      <c r="AF70" s="62"/>
      <c r="AG70" s="148"/>
      <c r="AH70" s="62"/>
      <c r="AI70" s="40"/>
      <c r="AJ70" s="62"/>
      <c r="AL70" s="66"/>
      <c r="AN70" s="8"/>
      <c r="AP70" s="13"/>
      <c r="AQ70" s="14"/>
      <c r="AR70" s="13"/>
      <c r="AS70" s="14"/>
      <c r="AT70" s="13"/>
      <c r="AU70" s="123"/>
      <c r="AV70" s="40"/>
      <c r="AW70" s="78"/>
      <c r="AX70" s="40"/>
      <c r="AY70" s="78"/>
      <c r="AZ70" s="40"/>
      <c r="BA70" s="78"/>
      <c r="BB70" s="40"/>
      <c r="BC70" s="78"/>
      <c r="BD70" s="40"/>
      <c r="BE70" s="62"/>
      <c r="BF70" s="62"/>
      <c r="BG70" s="62"/>
      <c r="BH70" s="62"/>
      <c r="BI70" s="62"/>
      <c r="BJ70" s="40"/>
      <c r="BK70" s="62"/>
      <c r="BL70" s="40"/>
      <c r="BM70" s="66"/>
      <c r="BN70" s="40"/>
      <c r="BO70" s="8"/>
      <c r="BP70" s="40"/>
      <c r="BQ70" s="132">
        <v>350</v>
      </c>
      <c r="BR70" s="14"/>
      <c r="BS70" s="16">
        <v>142.94</v>
      </c>
      <c r="BU70" s="132"/>
    </row>
    <row r="71" spans="1:73" ht="14.5" thickBot="1" x14ac:dyDescent="0.35">
      <c r="A71" s="41"/>
      <c r="B71" s="41"/>
      <c r="C71" s="41"/>
      <c r="D71" s="41"/>
      <c r="E71" s="41" t="s">
        <v>679</v>
      </c>
      <c r="F71" s="41"/>
      <c r="G71" s="55">
        <v>-141</v>
      </c>
      <c r="H71" s="56"/>
      <c r="I71" s="55">
        <v>0</v>
      </c>
      <c r="J71" s="56"/>
      <c r="K71" s="55">
        <v>16.5</v>
      </c>
      <c r="L71" s="56"/>
      <c r="M71" s="55">
        <v>0</v>
      </c>
      <c r="N71" s="56"/>
      <c r="O71" s="55">
        <v>0</v>
      </c>
      <c r="P71" s="56"/>
      <c r="Q71" s="55">
        <v>0</v>
      </c>
      <c r="R71" s="56"/>
      <c r="S71" s="55">
        <v>14.5</v>
      </c>
      <c r="T71" s="56"/>
      <c r="V71" s="55">
        <v>0</v>
      </c>
      <c r="X71" s="55">
        <v>455</v>
      </c>
      <c r="Z71" s="55">
        <v>0</v>
      </c>
      <c r="AB71" s="68">
        <v>3174.48</v>
      </c>
      <c r="AD71" s="63">
        <v>0</v>
      </c>
      <c r="AE71" s="148"/>
      <c r="AF71" s="62">
        <v>1348</v>
      </c>
      <c r="AG71" s="148"/>
      <c r="AH71" s="69">
        <v>350</v>
      </c>
      <c r="AI71" s="40"/>
      <c r="AJ71" s="69">
        <v>350</v>
      </c>
      <c r="AL71" s="85">
        <v>0</v>
      </c>
      <c r="AN71" s="9">
        <v>500</v>
      </c>
      <c r="AP71" s="17">
        <f>'17-18'!B109</f>
        <v>698.52</v>
      </c>
      <c r="AQ71" s="14"/>
      <c r="AR71" s="17">
        <f t="shared" si="1"/>
        <v>-198.51999999999998</v>
      </c>
      <c r="AS71" s="15"/>
      <c r="AT71" s="17">
        <v>277.45</v>
      </c>
      <c r="AU71" s="56"/>
      <c r="AV71" s="40"/>
      <c r="AW71" s="55">
        <v>0</v>
      </c>
      <c r="AX71" s="40"/>
      <c r="AY71" s="55">
        <v>455</v>
      </c>
      <c r="AZ71" s="40"/>
      <c r="BA71" s="55">
        <v>0</v>
      </c>
      <c r="BB71" s="40"/>
      <c r="BC71" s="68">
        <v>3174.48</v>
      </c>
      <c r="BD71" s="40"/>
      <c r="BE71" s="63">
        <v>0</v>
      </c>
      <c r="BF71" s="62"/>
      <c r="BG71" s="62">
        <v>1348</v>
      </c>
      <c r="BH71" s="62"/>
      <c r="BI71" s="69">
        <v>350</v>
      </c>
      <c r="BJ71" s="40"/>
      <c r="BK71" s="69">
        <v>350</v>
      </c>
      <c r="BL71" s="40"/>
      <c r="BM71" s="85">
        <v>0</v>
      </c>
      <c r="BN71" s="40"/>
      <c r="BO71" s="9">
        <v>500</v>
      </c>
      <c r="BP71" s="40"/>
      <c r="BQ71" s="133">
        <v>350</v>
      </c>
      <c r="BR71" s="14"/>
      <c r="BS71" s="21"/>
      <c r="BU71" s="133">
        <v>350</v>
      </c>
    </row>
    <row r="72" spans="1:73" ht="15" customHeight="1" thickBot="1" x14ac:dyDescent="0.35">
      <c r="A72" s="41"/>
      <c r="B72" s="41"/>
      <c r="C72" s="41"/>
      <c r="D72" s="70" t="s">
        <v>680</v>
      </c>
      <c r="E72" s="70"/>
      <c r="F72" s="70"/>
      <c r="G72" s="91">
        <f>ROUND(SUM(G63:G67)+SUM(G71:G71),5)</f>
        <v>2633</v>
      </c>
      <c r="H72" s="56"/>
      <c r="I72" s="91">
        <f>ROUND(SUM(I63:I67)+SUM(I71:I71),5)</f>
        <v>4903.6000000000004</v>
      </c>
      <c r="J72" s="56"/>
      <c r="K72" s="91">
        <f>ROUND(SUM(K63:K67)+SUM(K71:K71),5)</f>
        <v>5042.83</v>
      </c>
      <c r="L72" s="56"/>
      <c r="M72" s="91">
        <f>ROUND(SUM(M63:M67)+SUM(M71:M71),5)</f>
        <v>3400</v>
      </c>
      <c r="N72" s="56"/>
      <c r="O72" s="91">
        <f>ROUND(SUM(O63:O67)+SUM(O71:O71),5)</f>
        <v>3400</v>
      </c>
      <c r="P72" s="56"/>
      <c r="Q72" s="91">
        <f>ROUND(SUM(Q63:Q67)+SUM(Q71:Q71),5)</f>
        <v>2600</v>
      </c>
      <c r="R72" s="56"/>
      <c r="S72" s="91">
        <f>ROUND(SUM(S63:S67)+SUM(S71:S71),5)</f>
        <v>2357.27</v>
      </c>
      <c r="T72" s="56"/>
      <c r="U72" s="152"/>
      <c r="V72" s="91">
        <f>ROUND(SUM(V63:V67)+SUM(V71:V71),5)</f>
        <v>3800</v>
      </c>
      <c r="X72" s="91">
        <f>ROUND(SUM(X63:X67)+SUM(X71:X71),5)</f>
        <v>3470</v>
      </c>
      <c r="Z72" s="91">
        <f>SUM(Z64:Z71)</f>
        <v>6200</v>
      </c>
      <c r="AB72" s="92">
        <f>SUM(AB64:AB71)</f>
        <v>9004.6200000000008</v>
      </c>
      <c r="AD72" s="93">
        <f>SUM(AD64:AD71)</f>
        <v>13000</v>
      </c>
      <c r="AE72" s="148"/>
      <c r="AF72" s="94">
        <f>SUM(AF64:AF71)</f>
        <v>14761.279999999999</v>
      </c>
      <c r="AG72" s="148"/>
      <c r="AH72" s="95">
        <f>SUM(AH64:AH71)</f>
        <v>6185</v>
      </c>
      <c r="AJ72" s="95">
        <f>SUM(AJ64:AJ71)</f>
        <v>6185</v>
      </c>
      <c r="AL72" s="7" t="e">
        <f>SUM(AL64:AL71)</f>
        <v>#REF!</v>
      </c>
      <c r="AN72" s="10">
        <f>SUM(AN64:AN71)</f>
        <v>5935</v>
      </c>
      <c r="AP72" s="18">
        <f>SUM(AP64:AP71)</f>
        <v>3657.02</v>
      </c>
      <c r="AQ72" s="19"/>
      <c r="AR72" s="18">
        <f t="shared" si="1"/>
        <v>2277.98</v>
      </c>
      <c r="AS72" s="15"/>
      <c r="AT72" s="18">
        <v>5134.49</v>
      </c>
      <c r="AU72" s="56"/>
      <c r="AV72" s="78"/>
      <c r="AW72" s="91">
        <f>ROUND(SUM(AW63:AW67)+SUM(AW71:AW71),5)</f>
        <v>3800</v>
      </c>
      <c r="AX72" s="40"/>
      <c r="AY72" s="91">
        <f>ROUND(SUM(AY63:AY67)+SUM(AY71:AY71),5)</f>
        <v>3470</v>
      </c>
      <c r="AZ72" s="40"/>
      <c r="BA72" s="91">
        <f>SUM(BA64:BA71)</f>
        <v>6200</v>
      </c>
      <c r="BB72" s="40"/>
      <c r="BC72" s="92">
        <f>SUM(BC64:BC71)</f>
        <v>9004.6200000000008</v>
      </c>
      <c r="BD72" s="40"/>
      <c r="BE72" s="93">
        <f>SUM(BE64:BE71)</f>
        <v>13000</v>
      </c>
      <c r="BF72" s="62"/>
      <c r="BG72" s="94">
        <f>SUM(BG64:BG71)</f>
        <v>14761.279999999999</v>
      </c>
      <c r="BH72" s="62"/>
      <c r="BI72" s="95">
        <f>SUM(BI64:BI71)</f>
        <v>6185</v>
      </c>
      <c r="BJ72" s="40"/>
      <c r="BK72" s="95">
        <f>SUM(BK64:BK71)</f>
        <v>6185</v>
      </c>
      <c r="BL72" s="40"/>
      <c r="BM72" s="7" t="e">
        <f>SUM(BM64:BM71)</f>
        <v>#REF!</v>
      </c>
      <c r="BN72" s="40"/>
      <c r="BO72" s="10">
        <f>SUM(BO64:BO71)</f>
        <v>5935</v>
      </c>
      <c r="BP72" s="40"/>
      <c r="BQ72" s="128">
        <f>SUM(BQ64:BQ71)</f>
        <v>8100</v>
      </c>
      <c r="BR72" s="19"/>
      <c r="BS72" s="23">
        <f>SUM(BS64:BS71)</f>
        <v>5193.28</v>
      </c>
      <c r="BU72" s="128">
        <f>SUM(BU64:BU71)</f>
        <v>8000</v>
      </c>
    </row>
    <row r="73" spans="1:73" ht="14.5" thickBot="1" x14ac:dyDescent="0.35">
      <c r="A73" s="41"/>
      <c r="B73" s="41"/>
      <c r="C73" s="70" t="s">
        <v>681</v>
      </c>
      <c r="D73" s="70"/>
      <c r="E73" s="70"/>
      <c r="F73" s="70"/>
      <c r="G73" s="105" t="e">
        <f>ROUND(G21+#REF!+G33+G38+G56+G62+G72,5)</f>
        <v>#REF!</v>
      </c>
      <c r="H73" s="105"/>
      <c r="I73" s="67" t="e">
        <f>ROUND(I21+#REF!+I33+I38+I56+I62+I72,5)</f>
        <v>#REF!</v>
      </c>
      <c r="J73" s="56"/>
      <c r="K73" s="67" t="e">
        <f>ROUND(K21+#REF!+K33+K38+K56+K62+K72,5)</f>
        <v>#REF!</v>
      </c>
      <c r="L73" s="56"/>
      <c r="M73" s="67" t="e">
        <f>ROUND(M21+#REF!+M33+M38+M56+M62+M72,5)</f>
        <v>#REF!</v>
      </c>
      <c r="N73" s="56"/>
      <c r="O73" s="67" t="e">
        <f>ROUND(O21+#REF!+O33+O38+O56+O62+O72,5)</f>
        <v>#REF!</v>
      </c>
      <c r="P73" s="56"/>
      <c r="Q73" s="67" t="e">
        <f>ROUND(Q21+#REF!+Q33+Q38+Q56+Q62+Q72,5)</f>
        <v>#REF!</v>
      </c>
      <c r="R73" s="56"/>
      <c r="S73" s="67" t="e">
        <f>ROUND(S21+#REF!+S33+S38+S56+S62+S72,5)</f>
        <v>#REF!</v>
      </c>
      <c r="T73" s="56"/>
      <c r="V73" s="67" t="e">
        <f>ROUND(#REF!+V33+V38+V56+V62+V72,5)</f>
        <v>#REF!</v>
      </c>
      <c r="X73" s="67" t="e">
        <f>ROUND(#REF!+X33+X38+X56+X62+X72,5)</f>
        <v>#REF!</v>
      </c>
      <c r="Z73" s="67">
        <f>SUM(Z72,Z62,Z56,Z38,AI56,Z33,Z23,Z25)</f>
        <v>31225</v>
      </c>
      <c r="AB73" s="96">
        <f>SUM(AB72,AB62,AB56,AB38,AB33,AB23,AB25)</f>
        <v>34073.61</v>
      </c>
      <c r="AC73" s="154"/>
      <c r="AD73" s="97">
        <f>SUM(AD72,AD62,AD56,AD38,AD33,AD26)</f>
        <v>31925</v>
      </c>
      <c r="AE73" s="155"/>
      <c r="AF73" s="97">
        <f>SUM(AF72,AF62,AF56,AF38,AF33,AF26)</f>
        <v>33115.46</v>
      </c>
      <c r="AG73" s="155"/>
      <c r="AH73" s="97">
        <f>SUM(AH72,AH62,AH56,AH38,AH33,AH26)</f>
        <v>35470</v>
      </c>
      <c r="AJ73" s="97">
        <f>SUM(AJ72,AJ62,AJ56,AJ38,AJ33,AJ26)</f>
        <v>35420</v>
      </c>
      <c r="AL73" s="97" t="e">
        <f>SUM(AL72,AL62,AL56,AL38,AL33,AL26)</f>
        <v>#REF!</v>
      </c>
      <c r="AN73" s="8">
        <f>SUM(AN72,AN62,AN56,AN38,AN33,AN26)</f>
        <v>25095</v>
      </c>
      <c r="AP73" s="23">
        <f>SUM(AP72,AP62,AP56,AP38,AP33,AP26)</f>
        <v>22438.510000000002</v>
      </c>
      <c r="AQ73" s="14"/>
      <c r="AR73" s="13">
        <f t="shared" si="1"/>
        <v>2656.489999999998</v>
      </c>
      <c r="AS73" s="15"/>
      <c r="AT73" s="23">
        <v>20745.309999999998</v>
      </c>
      <c r="AU73" s="56"/>
      <c r="AV73" s="40"/>
      <c r="AW73" s="67" t="e">
        <f>ROUND(#REF!+AW33+AW38+AW56+AW62+AW72,5)</f>
        <v>#REF!</v>
      </c>
      <c r="AX73" s="40"/>
      <c r="AY73" s="67" t="e">
        <f>ROUND(#REF!+AY33+AY38+AY56+AY62+AY72,5)</f>
        <v>#REF!</v>
      </c>
      <c r="AZ73" s="40"/>
      <c r="BA73" s="67">
        <f>SUM(BA72,BA62,BA56,BA38,BJ56,BA33,BA23,BA25)</f>
        <v>31225</v>
      </c>
      <c r="BB73" s="40"/>
      <c r="BC73" s="96">
        <f>SUM(BC72,BC62,BC56,BC38,BC33,BC23,BC25)</f>
        <v>34073.61</v>
      </c>
      <c r="BD73" s="98"/>
      <c r="BE73" s="97">
        <f>SUM(BE72,BE62,BE56,BE38,BE33,BE26)</f>
        <v>31925</v>
      </c>
      <c r="BF73" s="99"/>
      <c r="BG73" s="97">
        <f>SUM(BG72,BG62,BG56,BG38,BG33,BG26)</f>
        <v>33115.46</v>
      </c>
      <c r="BH73" s="99"/>
      <c r="BI73" s="97">
        <f>SUM(BI72,BI62,BI56,BI38,BI33,BI26)</f>
        <v>35470</v>
      </c>
      <c r="BJ73" s="40"/>
      <c r="BK73" s="97">
        <f>SUM(BK72,BK62,BK56,BK38,BK33,BK26)</f>
        <v>35420</v>
      </c>
      <c r="BL73" s="40"/>
      <c r="BM73" s="97" t="e">
        <f>SUM(BM72,BM62,BM56,BM38,BM33,BM26)</f>
        <v>#REF!</v>
      </c>
      <c r="BN73" s="40"/>
      <c r="BO73" s="8">
        <f>SUM(BO72,BO62,BO56,BO38,BO33,BO26)</f>
        <v>25095</v>
      </c>
      <c r="BP73" s="40"/>
      <c r="BQ73" s="128">
        <f>SUM(BQ72,BQ62,BQ56,BQ38,BQ33,BQ26)</f>
        <v>42874</v>
      </c>
      <c r="BR73" s="14"/>
      <c r="BS73" s="23">
        <f>SUM(BS72,BS62,BS56,BS38,BS33,BS26)</f>
        <v>24093.25</v>
      </c>
      <c r="BU73" s="128">
        <f>SUM(BU72,BU62,BU56,BU38,BU33,BU26)</f>
        <v>44674</v>
      </c>
    </row>
    <row r="74" spans="1:73" x14ac:dyDescent="0.3">
      <c r="A74" s="41"/>
      <c r="B74" s="41"/>
      <c r="C74" s="167" t="s">
        <v>839</v>
      </c>
      <c r="D74" s="167"/>
      <c r="E74" s="167"/>
      <c r="F74" s="167"/>
      <c r="G74" s="55"/>
      <c r="H74" s="56"/>
      <c r="I74" s="55"/>
      <c r="J74" s="56"/>
      <c r="K74" s="55"/>
      <c r="L74" s="56"/>
      <c r="M74" s="55"/>
      <c r="N74" s="56"/>
      <c r="O74" s="55"/>
      <c r="P74" s="56"/>
      <c r="Q74" s="55"/>
      <c r="R74" s="56"/>
      <c r="S74" s="55"/>
      <c r="T74" s="56"/>
      <c r="V74" s="55"/>
      <c r="X74" s="55"/>
      <c r="Z74" s="55"/>
      <c r="AB74" s="66"/>
      <c r="AD74" s="62"/>
      <c r="AE74" s="148"/>
      <c r="AF74" s="62"/>
      <c r="AG74" s="148"/>
      <c r="AH74" s="62"/>
      <c r="AJ74" s="62"/>
      <c r="AL74" s="66"/>
      <c r="AN74" s="8"/>
      <c r="AP74" s="13"/>
      <c r="AQ74" s="14"/>
      <c r="AR74" s="13"/>
      <c r="AS74" s="15"/>
      <c r="AT74" s="13"/>
      <c r="AU74" s="56"/>
      <c r="AV74" s="40"/>
      <c r="AW74" s="55"/>
      <c r="AX74" s="40"/>
      <c r="AY74" s="55"/>
      <c r="AZ74" s="40"/>
      <c r="BA74" s="55"/>
      <c r="BB74" s="40"/>
      <c r="BC74" s="66"/>
      <c r="BD74" s="40"/>
      <c r="BE74" s="62"/>
      <c r="BF74" s="62"/>
      <c r="BG74" s="62"/>
      <c r="BH74" s="62"/>
      <c r="BI74" s="62"/>
      <c r="BJ74" s="40"/>
      <c r="BK74" s="62"/>
      <c r="BL74" s="40"/>
      <c r="BM74" s="66"/>
      <c r="BN74" s="40"/>
      <c r="BO74" s="8"/>
      <c r="BP74" s="40"/>
      <c r="BQ74" s="132"/>
      <c r="BR74" s="14"/>
      <c r="BS74" s="16">
        <v>35</v>
      </c>
      <c r="BU74" s="132"/>
    </row>
    <row r="75" spans="1:73" x14ac:dyDescent="0.3">
      <c r="A75" s="41"/>
      <c r="B75" s="41"/>
      <c r="C75" s="41"/>
      <c r="D75" s="41" t="s">
        <v>682</v>
      </c>
      <c r="E75" s="41"/>
      <c r="F75" s="41"/>
      <c r="G75" s="55">
        <v>0</v>
      </c>
      <c r="H75" s="56"/>
      <c r="I75" s="55">
        <v>-250</v>
      </c>
      <c r="J75" s="56"/>
      <c r="K75" s="55">
        <v>-211.12</v>
      </c>
      <c r="L75" s="56"/>
      <c r="M75" s="55">
        <v>-250</v>
      </c>
      <c r="N75" s="56"/>
      <c r="O75" s="55">
        <v>-720</v>
      </c>
      <c r="P75" s="56"/>
      <c r="Q75" s="55">
        <v>-720</v>
      </c>
      <c r="R75" s="56"/>
      <c r="S75" s="55">
        <v>-728.99</v>
      </c>
      <c r="T75" s="56"/>
      <c r="V75" s="55">
        <v>-750</v>
      </c>
      <c r="X75" s="55">
        <v>-882</v>
      </c>
      <c r="Z75" s="55">
        <v>1000</v>
      </c>
      <c r="AB75" s="66">
        <v>706.1</v>
      </c>
      <c r="AD75" s="60">
        <v>1000</v>
      </c>
      <c r="AE75" s="148"/>
      <c r="AF75" s="62">
        <v>684</v>
      </c>
      <c r="AG75" s="148"/>
      <c r="AH75" s="65">
        <v>750</v>
      </c>
      <c r="AJ75" s="65">
        <v>750</v>
      </c>
      <c r="AL75" s="66" t="e">
        <f>#REF!+#REF!</f>
        <v>#REF!</v>
      </c>
      <c r="AN75" s="8">
        <v>750</v>
      </c>
      <c r="AP75" s="13">
        <f>'17-18'!B55+'17-18'!B56</f>
        <v>603.04999999999995</v>
      </c>
      <c r="AQ75" s="14"/>
      <c r="AR75" s="13">
        <f t="shared" si="1"/>
        <v>146.95000000000005</v>
      </c>
      <c r="AS75" s="15"/>
      <c r="AT75" s="13">
        <v>730.51</v>
      </c>
      <c r="AU75" s="56"/>
      <c r="AV75" s="40"/>
      <c r="AW75" s="55">
        <v>-750</v>
      </c>
      <c r="AX75" s="40"/>
      <c r="AY75" s="55">
        <v>-882</v>
      </c>
      <c r="AZ75" s="40"/>
      <c r="BA75" s="55">
        <v>1000</v>
      </c>
      <c r="BB75" s="40"/>
      <c r="BC75" s="66">
        <v>706.1</v>
      </c>
      <c r="BD75" s="40"/>
      <c r="BE75" s="60">
        <v>1000</v>
      </c>
      <c r="BF75" s="62"/>
      <c r="BG75" s="62">
        <v>684</v>
      </c>
      <c r="BH75" s="62"/>
      <c r="BI75" s="65">
        <v>750</v>
      </c>
      <c r="BJ75" s="40"/>
      <c r="BK75" s="65">
        <v>750</v>
      </c>
      <c r="BL75" s="40"/>
      <c r="BM75" s="66" t="e">
        <f>#REF!+#REF!</f>
        <v>#REF!</v>
      </c>
      <c r="BN75" s="40"/>
      <c r="BO75" s="8">
        <v>750</v>
      </c>
      <c r="BP75" s="40"/>
      <c r="BQ75" s="132">
        <v>750</v>
      </c>
      <c r="BR75" s="14"/>
      <c r="BS75" s="13">
        <v>613.71</v>
      </c>
      <c r="BU75" s="132">
        <v>750</v>
      </c>
    </row>
    <row r="76" spans="1:73" ht="15" customHeight="1" thickBot="1" x14ac:dyDescent="0.35">
      <c r="A76" s="41"/>
      <c r="B76" s="41"/>
      <c r="C76" s="41"/>
      <c r="D76" s="41" t="s">
        <v>683</v>
      </c>
      <c r="E76" s="41"/>
      <c r="F76" s="41"/>
      <c r="G76" s="55">
        <v>-129</v>
      </c>
      <c r="H76" s="56"/>
      <c r="I76" s="55">
        <v>0</v>
      </c>
      <c r="J76" s="56"/>
      <c r="K76" s="55">
        <v>-80</v>
      </c>
      <c r="L76" s="56"/>
      <c r="M76" s="55">
        <v>0</v>
      </c>
      <c r="N76" s="56"/>
      <c r="O76" s="55">
        <v>0</v>
      </c>
      <c r="P76" s="56"/>
      <c r="Q76" s="55">
        <v>0</v>
      </c>
      <c r="R76" s="56"/>
      <c r="S76" s="55">
        <v>-85</v>
      </c>
      <c r="T76" s="56"/>
      <c r="V76" s="55">
        <v>-100</v>
      </c>
      <c r="X76" s="55">
        <v>-6</v>
      </c>
      <c r="Z76" s="55">
        <v>400</v>
      </c>
      <c r="AB76" s="55">
        <v>0</v>
      </c>
      <c r="AD76" s="60">
        <v>400</v>
      </c>
      <c r="AE76" s="148"/>
      <c r="AF76" s="62">
        <v>249.12</v>
      </c>
      <c r="AG76" s="148"/>
      <c r="AH76" s="84">
        <v>650</v>
      </c>
      <c r="AI76" s="40"/>
      <c r="AJ76" s="84">
        <v>650</v>
      </c>
      <c r="AL76" s="85" t="e">
        <f>#REF!</f>
        <v>#REF!</v>
      </c>
      <c r="AN76" s="8">
        <v>500</v>
      </c>
      <c r="AP76" s="13">
        <f>'17-18'!B53+'17-18'!B54</f>
        <v>637.83000000000004</v>
      </c>
      <c r="AQ76" s="14"/>
      <c r="AR76" s="13">
        <f t="shared" si="1"/>
        <v>-137.83000000000004</v>
      </c>
      <c r="AS76" s="15"/>
      <c r="AT76" s="13">
        <v>431.7</v>
      </c>
      <c r="AU76" s="56"/>
      <c r="AV76" s="40"/>
      <c r="AW76" s="55">
        <v>-100</v>
      </c>
      <c r="AX76" s="40"/>
      <c r="AY76" s="55">
        <v>-6</v>
      </c>
      <c r="AZ76" s="40"/>
      <c r="BA76" s="55">
        <v>400</v>
      </c>
      <c r="BB76" s="40"/>
      <c r="BC76" s="55">
        <v>0</v>
      </c>
      <c r="BD76" s="40"/>
      <c r="BE76" s="60">
        <v>400</v>
      </c>
      <c r="BF76" s="62"/>
      <c r="BG76" s="62">
        <v>249.12</v>
      </c>
      <c r="BH76" s="62"/>
      <c r="BI76" s="84">
        <v>650</v>
      </c>
      <c r="BJ76" s="40"/>
      <c r="BK76" s="84">
        <v>650</v>
      </c>
      <c r="BL76" s="40"/>
      <c r="BM76" s="85" t="e">
        <f>#REF!</f>
        <v>#REF!</v>
      </c>
      <c r="BN76" s="40"/>
      <c r="BO76" s="8">
        <v>500</v>
      </c>
      <c r="BP76" s="40"/>
      <c r="BQ76" s="133">
        <v>2000</v>
      </c>
      <c r="BR76" s="14"/>
      <c r="BS76" s="13">
        <v>645</v>
      </c>
      <c r="BU76" s="133">
        <v>2000</v>
      </c>
    </row>
    <row r="77" spans="1:73" ht="15" customHeight="1" thickBot="1" x14ac:dyDescent="0.35">
      <c r="A77" s="41"/>
      <c r="B77" s="41"/>
      <c r="C77" s="70" t="s">
        <v>684</v>
      </c>
      <c r="D77" s="70"/>
      <c r="E77" s="70"/>
      <c r="F77" s="70"/>
      <c r="G77" s="67" t="e">
        <f>ROUND(G27+#REF!+G37+#REF!+G60+G65+G76,5)</f>
        <v>#REF!</v>
      </c>
      <c r="H77" s="56"/>
      <c r="I77" s="67" t="e">
        <f>ROUND(I27+#REF!+I37+#REF!+I60+I65+I76,5)</f>
        <v>#REF!</v>
      </c>
      <c r="J77" s="56"/>
      <c r="K77" s="67" t="e">
        <f>ROUND(K27+#REF!+K37+#REF!+K60+K65+K76,5)</f>
        <v>#REF!</v>
      </c>
      <c r="L77" s="56"/>
      <c r="M77" s="67" t="e">
        <f>ROUND(M27+#REF!+M37+#REF!+M60+M65+M76,5)</f>
        <v>#REF!</v>
      </c>
      <c r="N77" s="56"/>
      <c r="O77" s="67" t="e">
        <f>ROUND(O27+#REF!+O37+#REF!+O60+O65+O76,5)</f>
        <v>#REF!</v>
      </c>
      <c r="P77" s="56"/>
      <c r="Q77" s="67" t="e">
        <f>ROUND(Q27+#REF!+Q37+#REF!+Q60+Q65+Q76,5)</f>
        <v>#REF!</v>
      </c>
      <c r="R77" s="56"/>
      <c r="S77" s="67" t="e">
        <f>ROUND(S27+#REF!+S37+#REF!+S60+S65+S76,5)</f>
        <v>#REF!</v>
      </c>
      <c r="T77" s="56"/>
      <c r="V77" s="67" t="e">
        <f>ROUND(#REF!+V37+#REF!+V60+V65+V76,5)</f>
        <v>#REF!</v>
      </c>
      <c r="X77" s="67" t="e">
        <f>ROUND(#REF!+X37+#REF!+X60+X65+X76,5)</f>
        <v>#REF!</v>
      </c>
      <c r="Z77" s="67">
        <f>SUM(Z75:Z76)</f>
        <v>1400</v>
      </c>
      <c r="AB77" s="100">
        <f>SUM(AB75:AB76)</f>
        <v>706.1</v>
      </c>
      <c r="AD77" s="101">
        <f>SUM(AD75:AD76)</f>
        <v>1400</v>
      </c>
      <c r="AE77" s="148"/>
      <c r="AF77" s="102">
        <v>933.41</v>
      </c>
      <c r="AG77" s="148"/>
      <c r="AH77" s="102">
        <f>SUM(AH75:AH76)</f>
        <v>1400</v>
      </c>
      <c r="AJ77" s="102">
        <f>SUM(AJ75:AJ76)</f>
        <v>1400</v>
      </c>
      <c r="AL77" s="7" t="e">
        <f>SUM(AL75:AL76)</f>
        <v>#REF!</v>
      </c>
      <c r="AN77" s="10">
        <f>SUM(AN75:AN76)</f>
        <v>1250</v>
      </c>
      <c r="AP77" s="23">
        <f>SUM(AP75:AP76)</f>
        <v>1240.8800000000001</v>
      </c>
      <c r="AQ77" s="19"/>
      <c r="AR77" s="18">
        <f t="shared" si="1"/>
        <v>9.1199999999998909</v>
      </c>
      <c r="AS77" s="15"/>
      <c r="AT77" s="23">
        <v>1162.21</v>
      </c>
      <c r="AU77" s="56"/>
      <c r="AV77" s="40"/>
      <c r="AW77" s="67" t="e">
        <f>ROUND(#REF!+AW37+#REF!+AW60+AW65+AW76,5)</f>
        <v>#REF!</v>
      </c>
      <c r="AX77" s="40"/>
      <c r="AY77" s="67" t="e">
        <f>ROUND(#REF!+AY37+#REF!+AY60+AY65+AY76,5)</f>
        <v>#REF!</v>
      </c>
      <c r="AZ77" s="40"/>
      <c r="BA77" s="67">
        <f>SUM(BA75:BA76)</f>
        <v>1400</v>
      </c>
      <c r="BB77" s="40"/>
      <c r="BC77" s="100">
        <f>SUM(BC75:BC76)</f>
        <v>706.1</v>
      </c>
      <c r="BD77" s="40"/>
      <c r="BE77" s="101">
        <f>SUM(BE75:BE76)</f>
        <v>1400</v>
      </c>
      <c r="BF77" s="62"/>
      <c r="BG77" s="102">
        <v>933.41</v>
      </c>
      <c r="BH77" s="62"/>
      <c r="BI77" s="102">
        <f>SUM(BI75:BI76)</f>
        <v>1400</v>
      </c>
      <c r="BJ77" s="40"/>
      <c r="BK77" s="102">
        <f>SUM(BK75:BK76)</f>
        <v>1400</v>
      </c>
      <c r="BL77" s="40"/>
      <c r="BM77" s="7" t="e">
        <f>SUM(BM75:BM76)</f>
        <v>#REF!</v>
      </c>
      <c r="BN77" s="40"/>
      <c r="BO77" s="10">
        <f>SUM(BO75:BO76)</f>
        <v>1250</v>
      </c>
      <c r="BP77" s="40"/>
      <c r="BQ77" s="128">
        <f>SUM(BQ75:BQ76)</f>
        <v>2750</v>
      </c>
      <c r="BR77" s="19"/>
      <c r="BS77" s="23">
        <f>SUM(BS74:BS76)</f>
        <v>1293.71</v>
      </c>
      <c r="BU77" s="128">
        <f>SUM(BU75:BU76)</f>
        <v>2750</v>
      </c>
    </row>
    <row r="78" spans="1:73" ht="14.5" thickBot="1" x14ac:dyDescent="0.35">
      <c r="B78" s="104"/>
      <c r="C78" s="105" t="s">
        <v>681</v>
      </c>
      <c r="D78" s="105"/>
      <c r="E78" s="105"/>
      <c r="F78" s="105"/>
      <c r="G78" s="67" t="e">
        <f>ROUND(#REF!+#REF!+G38+G42+G61+G66+G77,5)</f>
        <v>#REF!</v>
      </c>
      <c r="H78" s="106"/>
      <c r="I78" s="67" t="e">
        <f>ROUND(#REF!+#REF!+I38+I42+I61+I66+I77,5)</f>
        <v>#REF!</v>
      </c>
      <c r="J78" s="106"/>
      <c r="K78" s="67" t="e">
        <f>ROUND(#REF!+#REF!+K38+K42+K61+K66+K77,5)</f>
        <v>#REF!</v>
      </c>
      <c r="L78" s="106"/>
      <c r="M78" s="67" t="e">
        <f>ROUND(#REF!+#REF!+M38+M42+M61+M66+M77,5)</f>
        <v>#REF!</v>
      </c>
      <c r="N78" s="106"/>
      <c r="O78" s="67" t="e">
        <f>ROUND(#REF!+#REF!+O38+O42+O61+O66+O77,5)</f>
        <v>#REF!</v>
      </c>
      <c r="P78" s="106"/>
      <c r="Q78" s="67" t="e">
        <f>ROUND(#REF!+#REF!+Q38+Q42+Q61+Q66+Q77,5)</f>
        <v>#REF!</v>
      </c>
      <c r="R78" s="106"/>
      <c r="S78" s="67" t="e">
        <f>ROUND(#REF!+#REF!+S38+S42+S61+S66+S77,5)</f>
        <v>#REF!</v>
      </c>
      <c r="T78" s="106"/>
      <c r="U78" s="156"/>
      <c r="V78" s="67" t="e">
        <f>ROUND(#REF!+V38+V42+V61+V66+V77,5)</f>
        <v>#REF!</v>
      </c>
      <c r="W78" s="156"/>
      <c r="X78" s="67" t="e">
        <f>ROUND(#REF!+X38+X42+X61+X66+X77,5)</f>
        <v>#REF!</v>
      </c>
      <c r="Y78" s="156"/>
      <c r="Z78" s="67">
        <f>Z73+Z77</f>
        <v>32625</v>
      </c>
      <c r="AA78" s="156"/>
      <c r="AB78" s="100">
        <f>SUM(AB77,AB73)</f>
        <v>34779.71</v>
      </c>
      <c r="AC78" s="156"/>
      <c r="AD78" s="101">
        <f>AD73+AD77</f>
        <v>33325</v>
      </c>
      <c r="AE78" s="157"/>
      <c r="AF78" s="102">
        <f>AF73+AF77</f>
        <v>34048.870000000003</v>
      </c>
      <c r="AG78" s="157"/>
      <c r="AH78" s="107">
        <f>AH73+AH77</f>
        <v>36870</v>
      </c>
      <c r="AI78" s="156"/>
      <c r="AJ78" s="102">
        <f>AJ73+AJ77</f>
        <v>36820</v>
      </c>
      <c r="AK78" s="156"/>
      <c r="AL78" s="102" t="e">
        <f>AL73+AL77</f>
        <v>#REF!</v>
      </c>
      <c r="AM78" s="156"/>
      <c r="AN78" s="108">
        <f>AN73+AN77</f>
        <v>26345</v>
      </c>
      <c r="AO78" s="156"/>
      <c r="AP78" s="24">
        <f>AP73+AP77</f>
        <v>23679.390000000003</v>
      </c>
      <c r="AQ78" s="109"/>
      <c r="AR78" s="110">
        <f t="shared" si="1"/>
        <v>2665.6099999999969</v>
      </c>
      <c r="AS78" s="111"/>
      <c r="AT78" s="24">
        <v>21907.519999999997</v>
      </c>
      <c r="AU78" s="106"/>
      <c r="AV78" s="112"/>
      <c r="AW78" s="67" t="e">
        <f>ROUND(#REF!+AW38+AW42+AW61+AW66+AW77,5)</f>
        <v>#REF!</v>
      </c>
      <c r="AX78" s="112"/>
      <c r="AY78" s="67" t="e">
        <f>ROUND(#REF!+AY38+AY42+AY61+AY66+AY77,5)</f>
        <v>#REF!</v>
      </c>
      <c r="AZ78" s="112"/>
      <c r="BA78" s="67">
        <f>BA73+BA77</f>
        <v>32625</v>
      </c>
      <c r="BB78" s="112"/>
      <c r="BC78" s="100">
        <f>SUM(BC77,BC73)</f>
        <v>34779.71</v>
      </c>
      <c r="BD78" s="112"/>
      <c r="BE78" s="101">
        <f>BE73+BE77</f>
        <v>33325</v>
      </c>
      <c r="BF78" s="83"/>
      <c r="BG78" s="102">
        <f>BG73+BG77</f>
        <v>34048.870000000003</v>
      </c>
      <c r="BH78" s="83"/>
      <c r="BI78" s="107">
        <f>BI73+BI77</f>
        <v>36870</v>
      </c>
      <c r="BJ78" s="112"/>
      <c r="BK78" s="102">
        <f>BK73+BK77</f>
        <v>36820</v>
      </c>
      <c r="BL78" s="112"/>
      <c r="BM78" s="102" t="e">
        <f>BM73+BM77</f>
        <v>#REF!</v>
      </c>
      <c r="BN78" s="112"/>
      <c r="BO78" s="108">
        <f>BO73+BO77</f>
        <v>26345</v>
      </c>
      <c r="BP78" s="112"/>
      <c r="BQ78" s="129">
        <f>BQ73+BQ77</f>
        <v>45624</v>
      </c>
      <c r="BR78" s="109"/>
      <c r="BS78" s="24">
        <f>BS73+BS77</f>
        <v>25386.959999999999</v>
      </c>
      <c r="BU78" s="129">
        <f>BU73+BU77</f>
        <v>47424</v>
      </c>
    </row>
    <row r="79" spans="1:73" ht="14.5" thickBot="1" x14ac:dyDescent="0.35">
      <c r="A79" s="136"/>
      <c r="B79" s="103" t="s">
        <v>685</v>
      </c>
      <c r="F79" s="113"/>
      <c r="G79" s="114">
        <v>10009</v>
      </c>
      <c r="H79" s="76"/>
      <c r="I79" s="115">
        <v>-27119.45</v>
      </c>
      <c r="J79" s="76"/>
      <c r="K79" s="116">
        <v>-20788.87</v>
      </c>
      <c r="L79" s="76"/>
      <c r="M79" s="117">
        <v>-10750</v>
      </c>
      <c r="N79" s="55"/>
      <c r="O79" s="117">
        <v>-8965</v>
      </c>
      <c r="P79" s="55"/>
      <c r="Q79" s="117">
        <v>-9305</v>
      </c>
      <c r="R79" s="55"/>
      <c r="S79" s="117">
        <v>172.37</v>
      </c>
      <c r="T79" s="55"/>
      <c r="V79" s="117">
        <v>-1300</v>
      </c>
      <c r="X79" s="117" t="e">
        <f>#REF!+#REF!</f>
        <v>#REF!</v>
      </c>
      <c r="Z79" s="118">
        <f>Z19-Z73-Z77</f>
        <v>-1950</v>
      </c>
      <c r="AA79" s="158"/>
      <c r="AB79" s="118">
        <f>AB19-AB73-AB77</f>
        <v>6317.7899999999991</v>
      </c>
      <c r="AC79" s="158"/>
      <c r="AD79" s="119">
        <f>AD19-AD78</f>
        <v>-2650</v>
      </c>
      <c r="AE79" s="158"/>
      <c r="AF79" s="119">
        <f>AF19-AF78</f>
        <v>-6452.1000000000022</v>
      </c>
      <c r="AG79" s="158"/>
      <c r="AH79" s="119">
        <f>AH19-AH78</f>
        <v>-6895</v>
      </c>
      <c r="AI79" s="120"/>
      <c r="AJ79" s="119">
        <f>AJ19-AJ78</f>
        <v>-6845</v>
      </c>
      <c r="AK79" s="158"/>
      <c r="AL79" s="121" t="e">
        <f>AL19-AL78</f>
        <v>#REF!</v>
      </c>
      <c r="AM79" s="158"/>
      <c r="AN79" s="11">
        <f>AN19-AN78</f>
        <v>1655</v>
      </c>
      <c r="AP79" s="25">
        <f>AP19-AP78</f>
        <v>2449.5099999999984</v>
      </c>
      <c r="AQ79" s="26"/>
      <c r="AR79" s="25">
        <f>AP79-AN79</f>
        <v>794.5099999999984</v>
      </c>
      <c r="AS79" s="15"/>
      <c r="AT79" s="25">
        <v>7276.5000000000036</v>
      </c>
      <c r="AU79" s="55"/>
      <c r="AV79" s="40"/>
      <c r="AW79" s="117">
        <v>-1300</v>
      </c>
      <c r="AX79" s="40"/>
      <c r="AY79" s="117" t="e">
        <f>#REF!+#REF!</f>
        <v>#REF!</v>
      </c>
      <c r="AZ79" s="40"/>
      <c r="BA79" s="118">
        <f>BA19-BA73-BA77</f>
        <v>-1950</v>
      </c>
      <c r="BB79" s="120"/>
      <c r="BC79" s="118">
        <f>BC19-BC73-BC77</f>
        <v>6317.7899999999991</v>
      </c>
      <c r="BD79" s="120"/>
      <c r="BE79" s="119">
        <f>BE19-BE78</f>
        <v>-2650</v>
      </c>
      <c r="BF79" s="120"/>
      <c r="BG79" s="119">
        <f>BG19-BG78</f>
        <v>-6452.1000000000022</v>
      </c>
      <c r="BH79" s="120"/>
      <c r="BI79" s="119">
        <f>BI19-BI78</f>
        <v>-6895</v>
      </c>
      <c r="BJ79" s="120"/>
      <c r="BK79" s="119">
        <f>BK19-BK78</f>
        <v>-6845</v>
      </c>
      <c r="BL79" s="120"/>
      <c r="BM79" s="121" t="e">
        <f>BM19-BM78</f>
        <v>#REF!</v>
      </c>
      <c r="BN79" s="120"/>
      <c r="BO79" s="11">
        <f>BO19-BO78</f>
        <v>1655</v>
      </c>
      <c r="BP79" s="40"/>
      <c r="BQ79" s="134">
        <f>BQ19-BQ78</f>
        <v>-10924</v>
      </c>
      <c r="BR79" s="26"/>
      <c r="BS79" s="27">
        <f>BS19-BS78</f>
        <v>8476.61</v>
      </c>
      <c r="BU79" s="134">
        <f>BU19-BU78</f>
        <v>-12224</v>
      </c>
    </row>
    <row r="80" spans="1:73" x14ac:dyDescent="0.3">
      <c r="B80" s="40"/>
    </row>
  </sheetData>
  <mergeCells count="7">
    <mergeCell ref="A1:BU1"/>
    <mergeCell ref="A4:Z4"/>
    <mergeCell ref="C74:F74"/>
    <mergeCell ref="E68:F68"/>
    <mergeCell ref="E69:F69"/>
    <mergeCell ref="A2:BU2"/>
    <mergeCell ref="B3:BU3"/>
  </mergeCells>
  <pageMargins left="0.5" right="0.5" top="0.75" bottom="0.75" header="0.3" footer="0.3"/>
  <pageSetup scale="82" fitToHeight="2" orientation="portrait" r:id="rId1"/>
  <rowBreaks count="1" manualBreakCount="1">
    <brk id="38" max="7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0"/>
  <sheetViews>
    <sheetView topLeftCell="A100" workbookViewId="0">
      <selection activeCell="B3" sqref="B3:BU3"/>
    </sheetView>
  </sheetViews>
  <sheetFormatPr defaultColWidth="9.1796875" defaultRowHeight="14.5" x14ac:dyDescent="0.35"/>
  <cols>
    <col min="1" max="1" width="33.54296875" customWidth="1"/>
    <col min="2" max="2" width="28.453125" customWidth="1"/>
  </cols>
  <sheetData>
    <row r="1" spans="1:2" ht="18" x14ac:dyDescent="0.4">
      <c r="A1" s="172" t="s">
        <v>616</v>
      </c>
      <c r="B1" s="171"/>
    </row>
    <row r="2" spans="1:2" ht="18" x14ac:dyDescent="0.4">
      <c r="A2" s="172" t="s">
        <v>803</v>
      </c>
      <c r="B2" s="171"/>
    </row>
    <row r="3" spans="1:2" x14ac:dyDescent="0.35">
      <c r="A3" s="173" t="s">
        <v>802</v>
      </c>
      <c r="B3" s="171"/>
    </row>
    <row r="5" spans="1:2" x14ac:dyDescent="0.35">
      <c r="A5" s="39"/>
      <c r="B5" s="1" t="s">
        <v>801</v>
      </c>
    </row>
    <row r="6" spans="1:2" x14ac:dyDescent="0.35">
      <c r="A6" s="37" t="s">
        <v>800</v>
      </c>
      <c r="B6" s="38"/>
    </row>
    <row r="7" spans="1:2" x14ac:dyDescent="0.35">
      <c r="A7" s="37" t="s">
        <v>799</v>
      </c>
      <c r="B7" s="38"/>
    </row>
    <row r="8" spans="1:2" x14ac:dyDescent="0.35">
      <c r="A8" s="37" t="s">
        <v>798</v>
      </c>
      <c r="B8" s="4">
        <f>5791.28</f>
        <v>5791.28</v>
      </c>
    </row>
    <row r="9" spans="1:2" x14ac:dyDescent="0.35">
      <c r="A9" s="37" t="s">
        <v>797</v>
      </c>
      <c r="B9" s="4">
        <f>-6041.28</f>
        <v>-6041.28</v>
      </c>
    </row>
    <row r="10" spans="1:2" x14ac:dyDescent="0.35">
      <c r="A10" s="37" t="s">
        <v>796</v>
      </c>
      <c r="B10" s="4">
        <f>265.28</f>
        <v>265.27999999999997</v>
      </c>
    </row>
    <row r="11" spans="1:2" x14ac:dyDescent="0.35">
      <c r="A11" s="37" t="s">
        <v>795</v>
      </c>
      <c r="B11" s="5">
        <f>(((B7)+(B8))+(B9))+(B10)</f>
        <v>15.279999999999973</v>
      </c>
    </row>
    <row r="12" spans="1:2" x14ac:dyDescent="0.35">
      <c r="A12" s="37" t="s">
        <v>794</v>
      </c>
      <c r="B12" s="38"/>
    </row>
    <row r="13" spans="1:2" x14ac:dyDescent="0.35">
      <c r="A13" s="37" t="s">
        <v>793</v>
      </c>
      <c r="B13" s="4">
        <f>-2260</f>
        <v>-2260</v>
      </c>
    </row>
    <row r="14" spans="1:2" x14ac:dyDescent="0.35">
      <c r="A14" s="37" t="s">
        <v>792</v>
      </c>
      <c r="B14" s="4">
        <f>3010</f>
        <v>3010</v>
      </c>
    </row>
    <row r="15" spans="1:2" x14ac:dyDescent="0.35">
      <c r="A15" s="37" t="s">
        <v>791</v>
      </c>
      <c r="B15" s="5">
        <f>((B12)+(B13))+(B14)</f>
        <v>750</v>
      </c>
    </row>
    <row r="16" spans="1:2" x14ac:dyDescent="0.35">
      <c r="A16" s="37" t="s">
        <v>790</v>
      </c>
      <c r="B16" s="38"/>
    </row>
    <row r="17" spans="1:2" x14ac:dyDescent="0.35">
      <c r="A17" s="37" t="s">
        <v>789</v>
      </c>
      <c r="B17" s="4">
        <f>426.85</f>
        <v>426.85</v>
      </c>
    </row>
    <row r="18" spans="1:2" x14ac:dyDescent="0.35">
      <c r="A18" s="37" t="s">
        <v>788</v>
      </c>
      <c r="B18" s="5">
        <f>(B16)+(B17)</f>
        <v>426.85</v>
      </c>
    </row>
    <row r="19" spans="1:2" x14ac:dyDescent="0.35">
      <c r="A19" s="37" t="s">
        <v>787</v>
      </c>
      <c r="B19" s="38"/>
    </row>
    <row r="20" spans="1:2" x14ac:dyDescent="0.35">
      <c r="A20" s="37" t="s">
        <v>786</v>
      </c>
      <c r="B20" s="4">
        <f>20631</f>
        <v>20631</v>
      </c>
    </row>
    <row r="21" spans="1:2" x14ac:dyDescent="0.35">
      <c r="A21" s="37" t="s">
        <v>785</v>
      </c>
      <c r="B21" s="4">
        <f>928.68</f>
        <v>928.68</v>
      </c>
    </row>
    <row r="22" spans="1:2" x14ac:dyDescent="0.35">
      <c r="A22" s="37" t="s">
        <v>784</v>
      </c>
      <c r="B22" s="5">
        <f>((B19)+(B20))+(B21)</f>
        <v>21559.68</v>
      </c>
    </row>
    <row r="23" spans="1:2" x14ac:dyDescent="0.35">
      <c r="A23" s="37" t="s">
        <v>783</v>
      </c>
      <c r="B23" s="38"/>
    </row>
    <row r="24" spans="1:2" x14ac:dyDescent="0.35">
      <c r="A24" s="37" t="s">
        <v>782</v>
      </c>
      <c r="B24" s="4">
        <f>-2766.75</f>
        <v>-2766.75</v>
      </c>
    </row>
    <row r="25" spans="1:2" x14ac:dyDescent="0.35">
      <c r="A25" s="37" t="s">
        <v>781</v>
      </c>
      <c r="B25" s="4">
        <f>6630</f>
        <v>6630</v>
      </c>
    </row>
    <row r="26" spans="1:2" x14ac:dyDescent="0.35">
      <c r="A26" s="37" t="s">
        <v>780</v>
      </c>
      <c r="B26" s="5">
        <f>((B23)+(B24))+(B25)</f>
        <v>3863.25</v>
      </c>
    </row>
    <row r="27" spans="1:2" x14ac:dyDescent="0.35">
      <c r="A27" s="37" t="s">
        <v>779</v>
      </c>
      <c r="B27" s="38"/>
    </row>
    <row r="28" spans="1:2" x14ac:dyDescent="0.35">
      <c r="A28" s="37" t="s">
        <v>778</v>
      </c>
      <c r="B28" s="4">
        <f>43.91</f>
        <v>43.91</v>
      </c>
    </row>
    <row r="29" spans="1:2" x14ac:dyDescent="0.35">
      <c r="A29" s="37" t="s">
        <v>777</v>
      </c>
      <c r="B29" s="5">
        <f>(B27)+(B28)</f>
        <v>43.91</v>
      </c>
    </row>
    <row r="30" spans="1:2" x14ac:dyDescent="0.35">
      <c r="A30" s="37" t="s">
        <v>776</v>
      </c>
      <c r="B30" s="38"/>
    </row>
    <row r="31" spans="1:2" x14ac:dyDescent="0.35">
      <c r="A31" s="37" t="s">
        <v>775</v>
      </c>
      <c r="B31" s="4">
        <f>-511.31</f>
        <v>-511.31</v>
      </c>
    </row>
    <row r="32" spans="1:2" x14ac:dyDescent="0.35">
      <c r="A32" s="37" t="s">
        <v>774</v>
      </c>
      <c r="B32" s="4">
        <f>666.24</f>
        <v>666.24</v>
      </c>
    </row>
    <row r="33" spans="1:2" x14ac:dyDescent="0.35">
      <c r="A33" s="37" t="s">
        <v>773</v>
      </c>
      <c r="B33" s="4">
        <f>1037.59</f>
        <v>1037.5899999999999</v>
      </c>
    </row>
    <row r="34" spans="1:2" x14ac:dyDescent="0.35">
      <c r="A34" s="37" t="s">
        <v>772</v>
      </c>
      <c r="B34" s="5">
        <f>(((B30)+(B31))+(B32))+(B33)</f>
        <v>1192.52</v>
      </c>
    </row>
    <row r="35" spans="1:2" x14ac:dyDescent="0.35">
      <c r="A35" s="37" t="s">
        <v>771</v>
      </c>
      <c r="B35" s="5">
        <f>((((((B11)+(B15))+(B18))+(B22))+(B26))+(B29))+(B34)</f>
        <v>27851.49</v>
      </c>
    </row>
    <row r="36" spans="1:2" x14ac:dyDescent="0.35">
      <c r="A36" s="37" t="s">
        <v>770</v>
      </c>
      <c r="B36" s="5">
        <f>(B35)-(0)</f>
        <v>27851.49</v>
      </c>
    </row>
    <row r="37" spans="1:2" x14ac:dyDescent="0.35">
      <c r="A37" s="37" t="s">
        <v>769</v>
      </c>
      <c r="B37" s="38"/>
    </row>
    <row r="38" spans="1:2" x14ac:dyDescent="0.35">
      <c r="A38" s="37" t="s">
        <v>768</v>
      </c>
      <c r="B38" s="38"/>
    </row>
    <row r="39" spans="1:2" x14ac:dyDescent="0.35">
      <c r="A39" s="37" t="s">
        <v>767</v>
      </c>
      <c r="B39" s="4">
        <f>11890.5</f>
        <v>11890.5</v>
      </c>
    </row>
    <row r="40" spans="1:2" x14ac:dyDescent="0.35">
      <c r="A40" s="37" t="s">
        <v>766</v>
      </c>
      <c r="B40" s="4">
        <f>4315.03</f>
        <v>4315.03</v>
      </c>
    </row>
    <row r="41" spans="1:2" x14ac:dyDescent="0.35">
      <c r="A41" s="37" t="s">
        <v>765</v>
      </c>
      <c r="B41" s="5">
        <f>((B38)+(B39))+(B40)</f>
        <v>16205.529999999999</v>
      </c>
    </row>
    <row r="42" spans="1:2" x14ac:dyDescent="0.35">
      <c r="A42" s="37" t="s">
        <v>764</v>
      </c>
      <c r="B42" s="38"/>
    </row>
    <row r="43" spans="1:2" x14ac:dyDescent="0.35">
      <c r="A43" s="37" t="s">
        <v>763</v>
      </c>
      <c r="B43" s="4">
        <f>223</f>
        <v>223</v>
      </c>
    </row>
    <row r="44" spans="1:2" x14ac:dyDescent="0.35">
      <c r="A44" s="37" t="s">
        <v>762</v>
      </c>
      <c r="B44" s="4">
        <f>195.07</f>
        <v>195.07</v>
      </c>
    </row>
    <row r="45" spans="1:2" x14ac:dyDescent="0.35">
      <c r="A45" s="37" t="s">
        <v>761</v>
      </c>
      <c r="B45" s="4">
        <f>349.16</f>
        <v>349.16</v>
      </c>
    </row>
    <row r="46" spans="1:2" x14ac:dyDescent="0.35">
      <c r="A46" s="37" t="s">
        <v>760</v>
      </c>
      <c r="B46" s="5">
        <f>(((B42)+(B43))+(B44))+(B45)</f>
        <v>767.23</v>
      </c>
    </row>
    <row r="47" spans="1:2" x14ac:dyDescent="0.35">
      <c r="A47" s="37" t="s">
        <v>759</v>
      </c>
      <c r="B47" s="38"/>
    </row>
    <row r="48" spans="1:2" x14ac:dyDescent="0.35">
      <c r="A48" s="37" t="s">
        <v>758</v>
      </c>
      <c r="B48" s="4">
        <f>2449</f>
        <v>2449</v>
      </c>
    </row>
    <row r="49" spans="1:2" x14ac:dyDescent="0.35">
      <c r="A49" s="37" t="s">
        <v>757</v>
      </c>
      <c r="B49" s="4">
        <f>153.01</f>
        <v>153.01</v>
      </c>
    </row>
    <row r="50" spans="1:2" x14ac:dyDescent="0.35">
      <c r="A50" s="37" t="s">
        <v>756</v>
      </c>
      <c r="B50" s="4">
        <f>1187.41</f>
        <v>1187.4100000000001</v>
      </c>
    </row>
    <row r="51" spans="1:2" x14ac:dyDescent="0.35">
      <c r="A51" s="37" t="s">
        <v>755</v>
      </c>
      <c r="B51" s="5">
        <f>(((B47)+(B48))+(B49))+(B50)</f>
        <v>3789.42</v>
      </c>
    </row>
    <row r="52" spans="1:2" x14ac:dyDescent="0.35">
      <c r="A52" s="37" t="s">
        <v>754</v>
      </c>
      <c r="B52" s="38"/>
    </row>
    <row r="53" spans="1:2" x14ac:dyDescent="0.35">
      <c r="A53" s="37" t="s">
        <v>753</v>
      </c>
      <c r="B53" s="4">
        <f>12.5</f>
        <v>12.5</v>
      </c>
    </row>
    <row r="54" spans="1:2" x14ac:dyDescent="0.35">
      <c r="A54" s="37" t="s">
        <v>752</v>
      </c>
      <c r="B54" s="4">
        <f>625.33</f>
        <v>625.33000000000004</v>
      </c>
    </row>
    <row r="55" spans="1:2" x14ac:dyDescent="0.35">
      <c r="A55" s="37" t="s">
        <v>751</v>
      </c>
      <c r="B55" s="4">
        <f>557.5</f>
        <v>557.5</v>
      </c>
    </row>
    <row r="56" spans="1:2" x14ac:dyDescent="0.35">
      <c r="A56" s="37" t="s">
        <v>750</v>
      </c>
      <c r="B56" s="4">
        <f>45.55</f>
        <v>45.55</v>
      </c>
    </row>
    <row r="57" spans="1:2" x14ac:dyDescent="0.35">
      <c r="A57" s="37" t="s">
        <v>749</v>
      </c>
      <c r="B57" s="5">
        <f>((((B52)+(B53))+(B54))+(B55))+(B56)</f>
        <v>1240.8799999999999</v>
      </c>
    </row>
    <row r="58" spans="1:2" x14ac:dyDescent="0.35">
      <c r="A58" s="37" t="s">
        <v>748</v>
      </c>
      <c r="B58" s="38"/>
    </row>
    <row r="59" spans="1:2" x14ac:dyDescent="0.35">
      <c r="A59" s="37" t="s">
        <v>747</v>
      </c>
      <c r="B59" s="38"/>
    </row>
    <row r="60" spans="1:2" x14ac:dyDescent="0.35">
      <c r="A60" s="37" t="s">
        <v>746</v>
      </c>
      <c r="B60" s="4">
        <f>140</f>
        <v>140</v>
      </c>
    </row>
    <row r="61" spans="1:2" x14ac:dyDescent="0.35">
      <c r="A61" s="37" t="s">
        <v>745</v>
      </c>
      <c r="B61" s="4">
        <f>-72.5</f>
        <v>-72.5</v>
      </c>
    </row>
    <row r="62" spans="1:2" x14ac:dyDescent="0.35">
      <c r="A62" s="37" t="s">
        <v>744</v>
      </c>
      <c r="B62" s="5">
        <f>((B59)+(B60))+(B61)</f>
        <v>67.5</v>
      </c>
    </row>
    <row r="63" spans="1:2" x14ac:dyDescent="0.35">
      <c r="A63" s="37" t="s">
        <v>743</v>
      </c>
      <c r="B63" s="38"/>
    </row>
    <row r="64" spans="1:2" x14ac:dyDescent="0.35">
      <c r="A64" s="37" t="s">
        <v>742</v>
      </c>
      <c r="B64" s="4">
        <f>5710.66</f>
        <v>5710.66</v>
      </c>
    </row>
    <row r="65" spans="1:2" x14ac:dyDescent="0.35">
      <c r="A65" s="37" t="s">
        <v>741</v>
      </c>
      <c r="B65" s="4">
        <f>-10508.05</f>
        <v>-10508.05</v>
      </c>
    </row>
    <row r="66" spans="1:2" x14ac:dyDescent="0.35">
      <c r="A66" s="37" t="s">
        <v>740</v>
      </c>
      <c r="B66" s="5">
        <f>((B63)+(B64))+(B65)</f>
        <v>-4797.3899999999994</v>
      </c>
    </row>
    <row r="67" spans="1:2" x14ac:dyDescent="0.35">
      <c r="A67" s="37" t="s">
        <v>739</v>
      </c>
      <c r="B67" s="38"/>
    </row>
    <row r="68" spans="1:2" x14ac:dyDescent="0.35">
      <c r="A68" s="37" t="s">
        <v>738</v>
      </c>
      <c r="B68" s="4">
        <f>7395.85</f>
        <v>7395.85</v>
      </c>
    </row>
    <row r="69" spans="1:2" x14ac:dyDescent="0.35">
      <c r="A69" s="37" t="s">
        <v>737</v>
      </c>
      <c r="B69" s="4">
        <f>-6209</f>
        <v>-6209</v>
      </c>
    </row>
    <row r="70" spans="1:2" x14ac:dyDescent="0.35">
      <c r="A70" s="37" t="s">
        <v>736</v>
      </c>
      <c r="B70" s="4">
        <f>-2541.86</f>
        <v>-2541.86</v>
      </c>
    </row>
    <row r="71" spans="1:2" x14ac:dyDescent="0.35">
      <c r="A71" s="37" t="s">
        <v>735</v>
      </c>
      <c r="B71" s="5">
        <f>(((B67)+(B68))+(B69))+(B70)</f>
        <v>-1355.0099999999998</v>
      </c>
    </row>
    <row r="72" spans="1:2" x14ac:dyDescent="0.35">
      <c r="A72" s="37" t="s">
        <v>734</v>
      </c>
      <c r="B72" s="38"/>
    </row>
    <row r="73" spans="1:2" x14ac:dyDescent="0.35">
      <c r="A73" s="37" t="s">
        <v>733</v>
      </c>
      <c r="B73" s="4">
        <f>844.1</f>
        <v>844.1</v>
      </c>
    </row>
    <row r="74" spans="1:2" x14ac:dyDescent="0.35">
      <c r="A74" s="37" t="s">
        <v>732</v>
      </c>
      <c r="B74" s="4">
        <f>-1051</f>
        <v>-1051</v>
      </c>
    </row>
    <row r="75" spans="1:2" x14ac:dyDescent="0.35">
      <c r="A75" s="37" t="s">
        <v>731</v>
      </c>
      <c r="B75" s="5">
        <f>((B72)+(B73))+(B74)</f>
        <v>-206.89999999999998</v>
      </c>
    </row>
    <row r="76" spans="1:2" x14ac:dyDescent="0.35">
      <c r="A76" s="37" t="s">
        <v>730</v>
      </c>
      <c r="B76" s="4">
        <f>584.78</f>
        <v>584.78</v>
      </c>
    </row>
    <row r="77" spans="1:2" x14ac:dyDescent="0.35">
      <c r="A77" s="37" t="s">
        <v>729</v>
      </c>
      <c r="B77" s="38"/>
    </row>
    <row r="78" spans="1:2" x14ac:dyDescent="0.35">
      <c r="A78" s="37" t="s">
        <v>728</v>
      </c>
      <c r="B78" s="4">
        <f>886.97</f>
        <v>886.97</v>
      </c>
    </row>
    <row r="79" spans="1:2" x14ac:dyDescent="0.35">
      <c r="A79" s="37" t="s">
        <v>727</v>
      </c>
      <c r="B79" s="4">
        <f>-549.5</f>
        <v>-549.5</v>
      </c>
    </row>
    <row r="80" spans="1:2" x14ac:dyDescent="0.35">
      <c r="A80" s="37" t="s">
        <v>726</v>
      </c>
      <c r="B80" s="5">
        <f>((B77)+(B78))+(B79)</f>
        <v>337.47</v>
      </c>
    </row>
    <row r="81" spans="1:2" x14ac:dyDescent="0.35">
      <c r="A81" s="37" t="s">
        <v>725</v>
      </c>
      <c r="B81" s="4">
        <f>1716.72</f>
        <v>1716.72</v>
      </c>
    </row>
    <row r="82" spans="1:2" x14ac:dyDescent="0.35">
      <c r="A82" s="37" t="s">
        <v>724</v>
      </c>
      <c r="B82" s="4">
        <f>373.25</f>
        <v>373.25</v>
      </c>
    </row>
    <row r="83" spans="1:2" x14ac:dyDescent="0.35">
      <c r="A83" s="37" t="s">
        <v>723</v>
      </c>
      <c r="B83" s="4">
        <f>943.69</f>
        <v>943.69</v>
      </c>
    </row>
    <row r="84" spans="1:2" x14ac:dyDescent="0.35">
      <c r="A84" s="37" t="s">
        <v>722</v>
      </c>
      <c r="B84" s="4">
        <f>30.91</f>
        <v>30.91</v>
      </c>
    </row>
    <row r="85" spans="1:2" x14ac:dyDescent="0.35">
      <c r="A85" s="37" t="s">
        <v>721</v>
      </c>
      <c r="B85" s="4">
        <f>303.64</f>
        <v>303.64</v>
      </c>
    </row>
    <row r="86" spans="1:2" x14ac:dyDescent="0.35">
      <c r="A86" s="37" t="s">
        <v>720</v>
      </c>
      <c r="B86" s="4">
        <f>167.83</f>
        <v>167.83</v>
      </c>
    </row>
    <row r="87" spans="1:2" x14ac:dyDescent="0.35">
      <c r="A87" s="37" t="s">
        <v>719</v>
      </c>
      <c r="B87" s="5">
        <f>((((((((((((B58)+(B62))+(B66))+(B71))+(B75))+(B76))+(B80))+(B81))+(B82))+(B83))+(B84))+(B85))+(B86)</f>
        <v>-1833.5099999999993</v>
      </c>
    </row>
    <row r="88" spans="1:2" x14ac:dyDescent="0.35">
      <c r="A88" s="37" t="s">
        <v>718</v>
      </c>
      <c r="B88" s="38"/>
    </row>
    <row r="89" spans="1:2" x14ac:dyDescent="0.35">
      <c r="A89" s="37" t="s">
        <v>717</v>
      </c>
      <c r="B89" s="4">
        <f>2093.9</f>
        <v>2093.9</v>
      </c>
    </row>
    <row r="90" spans="1:2" x14ac:dyDescent="0.35">
      <c r="A90" s="37" t="s">
        <v>716</v>
      </c>
      <c r="B90" s="38"/>
    </row>
    <row r="91" spans="1:2" x14ac:dyDescent="0.35">
      <c r="A91" s="37" t="s">
        <v>715</v>
      </c>
      <c r="B91" s="4">
        <f>1241.84</f>
        <v>1241.8399999999999</v>
      </c>
    </row>
    <row r="92" spans="1:2" x14ac:dyDescent="0.35">
      <c r="A92" s="37" t="s">
        <v>714</v>
      </c>
      <c r="B92" s="4">
        <f>-35</f>
        <v>-35</v>
      </c>
    </row>
    <row r="93" spans="1:2" x14ac:dyDescent="0.35">
      <c r="A93" s="37" t="s">
        <v>713</v>
      </c>
      <c r="B93" s="5">
        <f>((B90)+(B91))+(B92)</f>
        <v>1206.8399999999999</v>
      </c>
    </row>
    <row r="94" spans="1:2" x14ac:dyDescent="0.35">
      <c r="A94" s="37" t="s">
        <v>712</v>
      </c>
      <c r="B94" s="38"/>
    </row>
    <row r="95" spans="1:2" x14ac:dyDescent="0.35">
      <c r="A95" s="37" t="s">
        <v>711</v>
      </c>
      <c r="B95" s="4">
        <f>223.2</f>
        <v>223.2</v>
      </c>
    </row>
    <row r="96" spans="1:2" x14ac:dyDescent="0.35">
      <c r="A96" s="37" t="s">
        <v>710</v>
      </c>
      <c r="B96" s="5">
        <f>(B94)+(B95)</f>
        <v>223.2</v>
      </c>
    </row>
    <row r="97" spans="1:2" x14ac:dyDescent="0.35">
      <c r="A97" s="37" t="s">
        <v>709</v>
      </c>
      <c r="B97" s="38"/>
    </row>
    <row r="98" spans="1:2" x14ac:dyDescent="0.35">
      <c r="A98" s="37" t="s">
        <v>708</v>
      </c>
      <c r="B98" s="4">
        <f>570.06</f>
        <v>570.05999999999995</v>
      </c>
    </row>
    <row r="99" spans="1:2" x14ac:dyDescent="0.35">
      <c r="A99" s="37" t="s">
        <v>707</v>
      </c>
      <c r="B99" s="5">
        <f>(B97)+(B98)</f>
        <v>570.05999999999995</v>
      </c>
    </row>
    <row r="100" spans="1:2" x14ac:dyDescent="0.35">
      <c r="A100" s="37" t="s">
        <v>706</v>
      </c>
      <c r="B100" s="5">
        <f>((((B88)+(B89))+(B93))+(B96))+(B99)</f>
        <v>4093.9999999999995</v>
      </c>
    </row>
    <row r="101" spans="1:2" x14ac:dyDescent="0.35">
      <c r="A101" s="37" t="s">
        <v>705</v>
      </c>
      <c r="B101" s="38"/>
    </row>
    <row r="102" spans="1:2" x14ac:dyDescent="0.35">
      <c r="A102" s="37" t="s">
        <v>704</v>
      </c>
      <c r="B102" s="4">
        <f>474</f>
        <v>474</v>
      </c>
    </row>
    <row r="103" spans="1:2" x14ac:dyDescent="0.35">
      <c r="A103" s="37" t="s">
        <v>703</v>
      </c>
      <c r="B103" s="4">
        <f>3617.5</f>
        <v>3617.5</v>
      </c>
    </row>
    <row r="104" spans="1:2" x14ac:dyDescent="0.35">
      <c r="A104" s="37" t="s">
        <v>702</v>
      </c>
      <c r="B104" s="4">
        <f>-2170</f>
        <v>-2170</v>
      </c>
    </row>
    <row r="105" spans="1:2" x14ac:dyDescent="0.35">
      <c r="A105" s="37" t="s">
        <v>701</v>
      </c>
      <c r="B105" s="5">
        <f>(B103)+(B104)</f>
        <v>1447.5</v>
      </c>
    </row>
    <row r="106" spans="1:2" x14ac:dyDescent="0.35">
      <c r="A106" s="37" t="s">
        <v>700</v>
      </c>
      <c r="B106" s="4">
        <f>1037</f>
        <v>1037</v>
      </c>
    </row>
    <row r="107" spans="1:2" x14ac:dyDescent="0.35">
      <c r="A107" s="37" t="s">
        <v>699</v>
      </c>
      <c r="B107" s="38"/>
    </row>
    <row r="108" spans="1:2" x14ac:dyDescent="0.35">
      <c r="A108" s="37" t="s">
        <v>698</v>
      </c>
      <c r="B108" s="4">
        <f>698.52</f>
        <v>698.52</v>
      </c>
    </row>
    <row r="109" spans="1:2" x14ac:dyDescent="0.35">
      <c r="A109" s="37" t="s">
        <v>697</v>
      </c>
      <c r="B109" s="5">
        <f>(B107)+(B108)</f>
        <v>698.52</v>
      </c>
    </row>
    <row r="110" spans="1:2" x14ac:dyDescent="0.35">
      <c r="A110" s="37" t="s">
        <v>696</v>
      </c>
      <c r="B110" s="38"/>
    </row>
    <row r="111" spans="1:2" x14ac:dyDescent="0.35">
      <c r="A111" s="37" t="s">
        <v>695</v>
      </c>
      <c r="B111" s="4">
        <f>-500</f>
        <v>-500</v>
      </c>
    </row>
    <row r="112" spans="1:2" x14ac:dyDescent="0.35">
      <c r="A112" s="37" t="s">
        <v>694</v>
      </c>
      <c r="B112" s="5">
        <f>(B110)+(B111)</f>
        <v>-500</v>
      </c>
    </row>
    <row r="113" spans="1:2" x14ac:dyDescent="0.35">
      <c r="A113" s="37" t="s">
        <v>693</v>
      </c>
      <c r="B113" s="5">
        <f>(((((B101)+(B102))+(B105))+(B106))+(B109))+(B112)</f>
        <v>3157.02</v>
      </c>
    </row>
    <row r="114" spans="1:2" x14ac:dyDescent="0.35">
      <c r="A114" s="37" t="s">
        <v>692</v>
      </c>
      <c r="B114" s="5">
        <f>((((((B41)+(B46))+(B51))+(B57))+(B87))+(B100))+(B113)</f>
        <v>27420.570000000003</v>
      </c>
    </row>
    <row r="115" spans="1:2" x14ac:dyDescent="0.35">
      <c r="A115" s="37" t="s">
        <v>691</v>
      </c>
      <c r="B115" s="5">
        <f>(B36)-(B114)</f>
        <v>430.91999999999825</v>
      </c>
    </row>
    <row r="116" spans="1:2" x14ac:dyDescent="0.35">
      <c r="A116" s="37" t="s">
        <v>690</v>
      </c>
      <c r="B116" s="5">
        <f>(B115)+(0)</f>
        <v>430.91999999999825</v>
      </c>
    </row>
    <row r="117" spans="1:2" x14ac:dyDescent="0.35">
      <c r="A117" s="37"/>
      <c r="B117" s="38"/>
    </row>
    <row r="120" spans="1:2" x14ac:dyDescent="0.35">
      <c r="A120" s="170" t="s">
        <v>689</v>
      </c>
      <c r="B120" s="171"/>
    </row>
  </sheetData>
  <mergeCells count="4">
    <mergeCell ref="A120:B120"/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8"/>
  <sheetViews>
    <sheetView topLeftCell="A49" workbookViewId="0">
      <selection activeCell="B3" sqref="B3:BU3"/>
    </sheetView>
  </sheetViews>
  <sheetFormatPr defaultColWidth="9.1796875" defaultRowHeight="14.5" x14ac:dyDescent="0.35"/>
  <cols>
    <col min="1" max="1" width="33.54296875" customWidth="1"/>
    <col min="2" max="2" width="28.453125" customWidth="1"/>
  </cols>
  <sheetData>
    <row r="1" spans="1:2" ht="18" x14ac:dyDescent="0.4">
      <c r="A1" s="172" t="s">
        <v>616</v>
      </c>
      <c r="B1" s="171"/>
    </row>
    <row r="2" spans="1:2" ht="18" x14ac:dyDescent="0.4">
      <c r="A2" s="172" t="s">
        <v>803</v>
      </c>
      <c r="B2" s="171"/>
    </row>
    <row r="3" spans="1:2" x14ac:dyDescent="0.35">
      <c r="A3" s="173" t="s">
        <v>618</v>
      </c>
      <c r="B3" s="171"/>
    </row>
    <row r="5" spans="1:2" x14ac:dyDescent="0.35">
      <c r="A5" s="39"/>
      <c r="B5" s="1" t="s">
        <v>801</v>
      </c>
    </row>
    <row r="6" spans="1:2" x14ac:dyDescent="0.35">
      <c r="A6" s="37" t="s">
        <v>800</v>
      </c>
      <c r="B6" s="38"/>
    </row>
    <row r="7" spans="1:2" x14ac:dyDescent="0.35">
      <c r="A7" s="37" t="s">
        <v>799</v>
      </c>
      <c r="B7" s="38"/>
    </row>
    <row r="8" spans="1:2" x14ac:dyDescent="0.35">
      <c r="A8" s="37" t="s">
        <v>798</v>
      </c>
      <c r="B8" s="4">
        <f>-6393.33</f>
        <v>-6393.33</v>
      </c>
    </row>
    <row r="9" spans="1:2" x14ac:dyDescent="0.35">
      <c r="A9" s="37" t="s">
        <v>797</v>
      </c>
      <c r="B9" s="4">
        <f>-250</f>
        <v>-250</v>
      </c>
    </row>
    <row r="10" spans="1:2" x14ac:dyDescent="0.35">
      <c r="A10" s="37" t="s">
        <v>796</v>
      </c>
      <c r="B10" s="4">
        <f>6675.41</f>
        <v>6675.41</v>
      </c>
    </row>
    <row r="11" spans="1:2" x14ac:dyDescent="0.35">
      <c r="A11" s="37" t="s">
        <v>795</v>
      </c>
      <c r="B11" s="5">
        <f>(((B7)+(B8))+(B9))+(B10)</f>
        <v>32.079999999999927</v>
      </c>
    </row>
    <row r="12" spans="1:2" x14ac:dyDescent="0.35">
      <c r="A12" s="37" t="s">
        <v>794</v>
      </c>
      <c r="B12" s="38"/>
    </row>
    <row r="13" spans="1:2" x14ac:dyDescent="0.35">
      <c r="A13" s="37" t="s">
        <v>793</v>
      </c>
      <c r="B13" s="4">
        <f>-2250</f>
        <v>-2250</v>
      </c>
    </row>
    <row r="14" spans="1:2" x14ac:dyDescent="0.35">
      <c r="A14" s="37" t="s">
        <v>792</v>
      </c>
      <c r="B14" s="4">
        <f>3000</f>
        <v>3000</v>
      </c>
    </row>
    <row r="15" spans="1:2" x14ac:dyDescent="0.35">
      <c r="A15" s="37" t="s">
        <v>791</v>
      </c>
      <c r="B15" s="5">
        <f>((B12)+(B13))+(B14)</f>
        <v>750</v>
      </c>
    </row>
    <row r="16" spans="1:2" x14ac:dyDescent="0.35">
      <c r="A16" s="37" t="s">
        <v>790</v>
      </c>
      <c r="B16" s="38"/>
    </row>
    <row r="17" spans="1:2" x14ac:dyDescent="0.35">
      <c r="A17" s="37" t="s">
        <v>815</v>
      </c>
      <c r="B17" s="4">
        <f>10.5</f>
        <v>10.5</v>
      </c>
    </row>
    <row r="18" spans="1:2" x14ac:dyDescent="0.35">
      <c r="A18" s="37" t="s">
        <v>789</v>
      </c>
      <c r="B18" s="4">
        <f>566.56</f>
        <v>566.55999999999995</v>
      </c>
    </row>
    <row r="19" spans="1:2" x14ac:dyDescent="0.35">
      <c r="A19" s="37" t="s">
        <v>788</v>
      </c>
      <c r="B19" s="5">
        <f>((B16)+(B17))+(B18)</f>
        <v>577.05999999999995</v>
      </c>
    </row>
    <row r="20" spans="1:2" x14ac:dyDescent="0.35">
      <c r="A20" s="37" t="s">
        <v>787</v>
      </c>
      <c r="B20" s="38"/>
    </row>
    <row r="21" spans="1:2" x14ac:dyDescent="0.35">
      <c r="A21" s="37" t="s">
        <v>786</v>
      </c>
      <c r="B21" s="4">
        <f>20690</f>
        <v>20690</v>
      </c>
    </row>
    <row r="22" spans="1:2" x14ac:dyDescent="0.35">
      <c r="A22" s="37" t="s">
        <v>785</v>
      </c>
      <c r="B22" s="4">
        <f>190.02</f>
        <v>190.02</v>
      </c>
    </row>
    <row r="23" spans="1:2" x14ac:dyDescent="0.35">
      <c r="A23" s="37" t="s">
        <v>784</v>
      </c>
      <c r="B23" s="5">
        <f>((B20)+(B21))+(B22)</f>
        <v>20880.02</v>
      </c>
    </row>
    <row r="24" spans="1:2" x14ac:dyDescent="0.35">
      <c r="A24" s="37" t="s">
        <v>783</v>
      </c>
      <c r="B24" s="38"/>
    </row>
    <row r="25" spans="1:2" x14ac:dyDescent="0.35">
      <c r="A25" s="37" t="s">
        <v>782</v>
      </c>
      <c r="B25" s="4">
        <f>-3181.5</f>
        <v>-3181.5</v>
      </c>
    </row>
    <row r="26" spans="1:2" x14ac:dyDescent="0.35">
      <c r="A26" s="37" t="s">
        <v>781</v>
      </c>
      <c r="B26" s="4">
        <f>7625</f>
        <v>7625</v>
      </c>
    </row>
    <row r="27" spans="1:2" x14ac:dyDescent="0.35">
      <c r="A27" s="37" t="s">
        <v>780</v>
      </c>
      <c r="B27" s="5">
        <f>((B24)+(B25))+(B26)</f>
        <v>4443.5</v>
      </c>
    </row>
    <row r="28" spans="1:2" x14ac:dyDescent="0.35">
      <c r="A28" s="37" t="s">
        <v>779</v>
      </c>
      <c r="B28" s="38"/>
    </row>
    <row r="29" spans="1:2" x14ac:dyDescent="0.35">
      <c r="A29" s="37" t="s">
        <v>778</v>
      </c>
      <c r="B29" s="4">
        <f>59.61</f>
        <v>59.61</v>
      </c>
    </row>
    <row r="30" spans="1:2" x14ac:dyDescent="0.35">
      <c r="A30" s="37" t="s">
        <v>777</v>
      </c>
      <c r="B30" s="5">
        <f>(B28)+(B29)</f>
        <v>59.61</v>
      </c>
    </row>
    <row r="31" spans="1:2" x14ac:dyDescent="0.35">
      <c r="A31" s="37" t="s">
        <v>776</v>
      </c>
      <c r="B31" s="38"/>
    </row>
    <row r="32" spans="1:2" x14ac:dyDescent="0.35">
      <c r="A32" s="37" t="s">
        <v>775</v>
      </c>
      <c r="B32" s="4">
        <f>-280</f>
        <v>-280</v>
      </c>
    </row>
    <row r="33" spans="1:2" x14ac:dyDescent="0.35">
      <c r="A33" s="37" t="s">
        <v>774</v>
      </c>
      <c r="B33" s="4">
        <f>1284.51</f>
        <v>1284.51</v>
      </c>
    </row>
    <row r="34" spans="1:2" x14ac:dyDescent="0.35">
      <c r="A34" s="37" t="s">
        <v>773</v>
      </c>
      <c r="B34" s="4">
        <f>606.23</f>
        <v>606.23</v>
      </c>
    </row>
    <row r="35" spans="1:2" x14ac:dyDescent="0.35">
      <c r="A35" s="37" t="s">
        <v>772</v>
      </c>
      <c r="B35" s="5">
        <f>(((B31)+(B32))+(B33))+(B34)</f>
        <v>1610.74</v>
      </c>
    </row>
    <row r="36" spans="1:2" x14ac:dyDescent="0.35">
      <c r="A36" s="37" t="s">
        <v>814</v>
      </c>
      <c r="B36" s="38"/>
    </row>
    <row r="37" spans="1:2" x14ac:dyDescent="0.35">
      <c r="A37" s="37" t="s">
        <v>813</v>
      </c>
      <c r="B37" s="4">
        <f>-3381.99</f>
        <v>-3381.99</v>
      </c>
    </row>
    <row r="38" spans="1:2" x14ac:dyDescent="0.35">
      <c r="A38" s="37" t="s">
        <v>812</v>
      </c>
      <c r="B38" s="4">
        <f>4213</f>
        <v>4213</v>
      </c>
    </row>
    <row r="39" spans="1:2" x14ac:dyDescent="0.35">
      <c r="A39" s="37" t="s">
        <v>811</v>
      </c>
      <c r="B39" s="5">
        <f>((B36)+(B37))+(B38)</f>
        <v>831.01000000000022</v>
      </c>
    </row>
    <row r="40" spans="1:2" x14ac:dyDescent="0.35">
      <c r="A40" s="37" t="s">
        <v>771</v>
      </c>
      <c r="B40" s="5">
        <f>(((((((B11)+(B15))+(B19))+(B23))+(B27))+(B30))+(B35))+(B39)</f>
        <v>29184.020000000004</v>
      </c>
    </row>
    <row r="41" spans="1:2" x14ac:dyDescent="0.35">
      <c r="A41" s="37" t="s">
        <v>770</v>
      </c>
      <c r="B41" s="5">
        <f>(B40)-(0)</f>
        <v>29184.020000000004</v>
      </c>
    </row>
    <row r="42" spans="1:2" x14ac:dyDescent="0.35">
      <c r="A42" s="37" t="s">
        <v>769</v>
      </c>
      <c r="B42" s="38"/>
    </row>
    <row r="43" spans="1:2" x14ac:dyDescent="0.35">
      <c r="A43" s="37" t="s">
        <v>768</v>
      </c>
      <c r="B43" s="38"/>
    </row>
    <row r="44" spans="1:2" x14ac:dyDescent="0.35">
      <c r="A44" s="37" t="s">
        <v>767</v>
      </c>
      <c r="B44" s="4">
        <f>2523</f>
        <v>2523</v>
      </c>
    </row>
    <row r="45" spans="1:2" x14ac:dyDescent="0.35">
      <c r="A45" s="37" t="s">
        <v>766</v>
      </c>
      <c r="B45" s="4">
        <f>4459.01</f>
        <v>4459.01</v>
      </c>
    </row>
    <row r="46" spans="1:2" x14ac:dyDescent="0.35">
      <c r="A46" s="37" t="s">
        <v>765</v>
      </c>
      <c r="B46" s="5">
        <f>((B43)+(B44))+(B45)</f>
        <v>6982.01</v>
      </c>
    </row>
    <row r="47" spans="1:2" x14ac:dyDescent="0.35">
      <c r="A47" s="37" t="s">
        <v>764</v>
      </c>
      <c r="B47" s="38"/>
    </row>
    <row r="48" spans="1:2" x14ac:dyDescent="0.35">
      <c r="A48" s="37" t="s">
        <v>763</v>
      </c>
      <c r="B48" s="4">
        <f>226</f>
        <v>226</v>
      </c>
    </row>
    <row r="49" spans="1:2" x14ac:dyDescent="0.35">
      <c r="A49" s="37" t="s">
        <v>762</v>
      </c>
      <c r="B49" s="4">
        <f>378.86</f>
        <v>378.86</v>
      </c>
    </row>
    <row r="50" spans="1:2" x14ac:dyDescent="0.35">
      <c r="A50" s="37" t="s">
        <v>761</v>
      </c>
      <c r="B50" s="4">
        <f>501.2</f>
        <v>501.2</v>
      </c>
    </row>
    <row r="51" spans="1:2" x14ac:dyDescent="0.35">
      <c r="A51" s="37" t="s">
        <v>760</v>
      </c>
      <c r="B51" s="5">
        <f>(((B47)+(B48))+(B49))+(B50)</f>
        <v>1106.06</v>
      </c>
    </row>
    <row r="52" spans="1:2" x14ac:dyDescent="0.35">
      <c r="A52" s="37" t="s">
        <v>759</v>
      </c>
      <c r="B52" s="38"/>
    </row>
    <row r="53" spans="1:2" x14ac:dyDescent="0.35">
      <c r="A53" s="37" t="s">
        <v>758</v>
      </c>
      <c r="B53" s="4">
        <f>765</f>
        <v>765</v>
      </c>
    </row>
    <row r="54" spans="1:2" x14ac:dyDescent="0.35">
      <c r="A54" s="37" t="s">
        <v>757</v>
      </c>
      <c r="B54" s="4">
        <f>208.41</f>
        <v>208.41</v>
      </c>
    </row>
    <row r="55" spans="1:2" x14ac:dyDescent="0.35">
      <c r="A55" s="37" t="s">
        <v>756</v>
      </c>
      <c r="B55" s="4">
        <f>1188.67</f>
        <v>1188.67</v>
      </c>
    </row>
    <row r="56" spans="1:2" x14ac:dyDescent="0.35">
      <c r="A56" s="37" t="s">
        <v>755</v>
      </c>
      <c r="B56" s="5">
        <f>(((B52)+(B53))+(B54))+(B55)</f>
        <v>2162.08</v>
      </c>
    </row>
    <row r="57" spans="1:2" x14ac:dyDescent="0.35">
      <c r="A57" s="37" t="s">
        <v>754</v>
      </c>
      <c r="B57" s="38"/>
    </row>
    <row r="58" spans="1:2" x14ac:dyDescent="0.35">
      <c r="A58" s="37" t="s">
        <v>752</v>
      </c>
      <c r="B58" s="4">
        <f>431.7</f>
        <v>431.7</v>
      </c>
    </row>
    <row r="59" spans="1:2" x14ac:dyDescent="0.35">
      <c r="A59" s="37" t="s">
        <v>751</v>
      </c>
      <c r="B59" s="4">
        <f>700.25</f>
        <v>700.25</v>
      </c>
    </row>
    <row r="60" spans="1:2" x14ac:dyDescent="0.35">
      <c r="A60" s="37" t="s">
        <v>750</v>
      </c>
      <c r="B60" s="4">
        <f>30.26</f>
        <v>30.26</v>
      </c>
    </row>
    <row r="61" spans="1:2" x14ac:dyDescent="0.35">
      <c r="A61" s="37" t="s">
        <v>749</v>
      </c>
      <c r="B61" s="5">
        <f>(((B57)+(B58))+(B59))+(B60)</f>
        <v>1162.21</v>
      </c>
    </row>
    <row r="62" spans="1:2" x14ac:dyDescent="0.35">
      <c r="A62" s="37" t="s">
        <v>748</v>
      </c>
      <c r="B62" s="38"/>
    </row>
    <row r="63" spans="1:2" x14ac:dyDescent="0.35">
      <c r="A63" s="37" t="s">
        <v>747</v>
      </c>
      <c r="B63" s="38"/>
    </row>
    <row r="64" spans="1:2" x14ac:dyDescent="0.35">
      <c r="A64" s="37" t="s">
        <v>746</v>
      </c>
      <c r="B64" s="4">
        <f>165</f>
        <v>165</v>
      </c>
    </row>
    <row r="65" spans="1:2" x14ac:dyDescent="0.35">
      <c r="A65" s="37" t="s">
        <v>745</v>
      </c>
      <c r="B65" s="4">
        <f>-226.4</f>
        <v>-226.4</v>
      </c>
    </row>
    <row r="66" spans="1:2" x14ac:dyDescent="0.35">
      <c r="A66" s="37" t="s">
        <v>744</v>
      </c>
      <c r="B66" s="5">
        <f>((B63)+(B64))+(B65)</f>
        <v>-61.400000000000006</v>
      </c>
    </row>
    <row r="67" spans="1:2" x14ac:dyDescent="0.35">
      <c r="A67" s="37" t="s">
        <v>743</v>
      </c>
      <c r="B67" s="38"/>
    </row>
    <row r="68" spans="1:2" x14ac:dyDescent="0.35">
      <c r="A68" s="37" t="s">
        <v>742</v>
      </c>
      <c r="B68" s="4">
        <f>3632.35</f>
        <v>3632.35</v>
      </c>
    </row>
    <row r="69" spans="1:2" x14ac:dyDescent="0.35">
      <c r="A69" s="37" t="s">
        <v>741</v>
      </c>
      <c r="B69" s="4">
        <f>-4480.1</f>
        <v>-4480.1000000000004</v>
      </c>
    </row>
    <row r="70" spans="1:2" x14ac:dyDescent="0.35">
      <c r="A70" s="37" t="s">
        <v>740</v>
      </c>
      <c r="B70" s="5">
        <f>((B67)+(B68))+(B69)</f>
        <v>-847.75000000000045</v>
      </c>
    </row>
    <row r="71" spans="1:2" x14ac:dyDescent="0.35">
      <c r="A71" s="37" t="s">
        <v>739</v>
      </c>
      <c r="B71" s="38"/>
    </row>
    <row r="72" spans="1:2" x14ac:dyDescent="0.35">
      <c r="A72" s="37" t="s">
        <v>738</v>
      </c>
      <c r="B72" s="4">
        <f>4469.85</f>
        <v>4469.8500000000004</v>
      </c>
    </row>
    <row r="73" spans="1:2" x14ac:dyDescent="0.35">
      <c r="A73" s="37" t="s">
        <v>737</v>
      </c>
      <c r="B73" s="4">
        <f>-3617</f>
        <v>-3617</v>
      </c>
    </row>
    <row r="74" spans="1:2" x14ac:dyDescent="0.35">
      <c r="A74" s="37" t="s">
        <v>736</v>
      </c>
      <c r="B74" s="4">
        <f>-1157</f>
        <v>-1157</v>
      </c>
    </row>
    <row r="75" spans="1:2" x14ac:dyDescent="0.35">
      <c r="A75" s="37" t="s">
        <v>735</v>
      </c>
      <c r="B75" s="5">
        <f>(((B71)+(B72))+(B73))+(B74)</f>
        <v>-304.14999999999964</v>
      </c>
    </row>
    <row r="76" spans="1:2" x14ac:dyDescent="0.35">
      <c r="A76" s="37" t="s">
        <v>734</v>
      </c>
      <c r="B76" s="38"/>
    </row>
    <row r="77" spans="1:2" x14ac:dyDescent="0.35">
      <c r="A77" s="37" t="s">
        <v>733</v>
      </c>
      <c r="B77" s="4">
        <f>1028.51</f>
        <v>1028.51</v>
      </c>
    </row>
    <row r="78" spans="1:2" x14ac:dyDescent="0.35">
      <c r="A78" s="37" t="s">
        <v>732</v>
      </c>
      <c r="B78" s="4">
        <f>-768</f>
        <v>-768</v>
      </c>
    </row>
    <row r="79" spans="1:2" x14ac:dyDescent="0.35">
      <c r="A79" s="37" t="s">
        <v>731</v>
      </c>
      <c r="B79" s="5">
        <f>((B76)+(B77))+(B78)</f>
        <v>260.51</v>
      </c>
    </row>
    <row r="80" spans="1:2" x14ac:dyDescent="0.35">
      <c r="A80" s="37" t="s">
        <v>730</v>
      </c>
      <c r="B80" s="4">
        <f>615.21</f>
        <v>615.21</v>
      </c>
    </row>
    <row r="81" spans="1:2" x14ac:dyDescent="0.35">
      <c r="A81" s="37" t="s">
        <v>729</v>
      </c>
      <c r="B81" s="38"/>
    </row>
    <row r="82" spans="1:2" x14ac:dyDescent="0.35">
      <c r="A82" s="37" t="s">
        <v>728</v>
      </c>
      <c r="B82" s="4">
        <f>1036</f>
        <v>1036</v>
      </c>
    </row>
    <row r="83" spans="1:2" x14ac:dyDescent="0.35">
      <c r="A83" s="37" t="s">
        <v>727</v>
      </c>
      <c r="B83" s="4">
        <f>-727</f>
        <v>-727</v>
      </c>
    </row>
    <row r="84" spans="1:2" x14ac:dyDescent="0.35">
      <c r="A84" s="37" t="s">
        <v>726</v>
      </c>
      <c r="B84" s="5">
        <f>((B81)+(B82))+(B83)</f>
        <v>309</v>
      </c>
    </row>
    <row r="85" spans="1:2" x14ac:dyDescent="0.35">
      <c r="A85" s="37" t="s">
        <v>725</v>
      </c>
      <c r="B85" s="4">
        <f>671.57</f>
        <v>671.57</v>
      </c>
    </row>
    <row r="86" spans="1:2" x14ac:dyDescent="0.35">
      <c r="A86" s="37" t="s">
        <v>724</v>
      </c>
      <c r="B86" s="4">
        <f>342.79</f>
        <v>342.79</v>
      </c>
    </row>
    <row r="87" spans="1:2" x14ac:dyDescent="0.35">
      <c r="A87" s="37" t="s">
        <v>723</v>
      </c>
      <c r="B87" s="4">
        <f>234.36</f>
        <v>234.36</v>
      </c>
    </row>
    <row r="88" spans="1:2" x14ac:dyDescent="0.35">
      <c r="A88" s="37" t="s">
        <v>722</v>
      </c>
      <c r="B88" s="4">
        <f>48.28</f>
        <v>48.28</v>
      </c>
    </row>
    <row r="89" spans="1:2" x14ac:dyDescent="0.35">
      <c r="A89" s="37" t="s">
        <v>721</v>
      </c>
      <c r="B89" s="4">
        <f>146.04</f>
        <v>146.04</v>
      </c>
    </row>
    <row r="90" spans="1:2" x14ac:dyDescent="0.35">
      <c r="A90" s="37" t="s">
        <v>720</v>
      </c>
      <c r="B90" s="4">
        <f>68.7</f>
        <v>68.7</v>
      </c>
    </row>
    <row r="91" spans="1:2" x14ac:dyDescent="0.35">
      <c r="A91" s="37" t="s">
        <v>719</v>
      </c>
      <c r="B91" s="5">
        <f>((((((((((((B62)+(B66))+(B70))+(B75))+(B79))+(B80))+(B84))+(B85))+(B86))+(B87))+(B88))+(B89))+(B90)</f>
        <v>1483.1599999999999</v>
      </c>
    </row>
    <row r="92" spans="1:2" x14ac:dyDescent="0.35">
      <c r="A92" s="37" t="s">
        <v>718</v>
      </c>
      <c r="B92" s="38"/>
    </row>
    <row r="93" spans="1:2" x14ac:dyDescent="0.35">
      <c r="A93" s="37" t="s">
        <v>717</v>
      </c>
      <c r="B93" s="4">
        <f>1956.4</f>
        <v>1956.4</v>
      </c>
    </row>
    <row r="94" spans="1:2" x14ac:dyDescent="0.35">
      <c r="A94" s="37" t="s">
        <v>716</v>
      </c>
      <c r="B94" s="38"/>
    </row>
    <row r="95" spans="1:2" x14ac:dyDescent="0.35">
      <c r="A95" s="37" t="s">
        <v>715</v>
      </c>
      <c r="B95" s="4">
        <f>1491.51</f>
        <v>1491.51</v>
      </c>
    </row>
    <row r="96" spans="1:2" x14ac:dyDescent="0.35">
      <c r="A96" s="37" t="s">
        <v>714</v>
      </c>
      <c r="B96" s="4">
        <f>-75</f>
        <v>-75</v>
      </c>
    </row>
    <row r="97" spans="1:2" x14ac:dyDescent="0.35">
      <c r="A97" s="37" t="s">
        <v>713</v>
      </c>
      <c r="B97" s="5">
        <f>((B94)+(B95))+(B96)</f>
        <v>1416.51</v>
      </c>
    </row>
    <row r="98" spans="1:2" x14ac:dyDescent="0.35">
      <c r="A98" s="37" t="s">
        <v>712</v>
      </c>
      <c r="B98" s="38"/>
    </row>
    <row r="99" spans="1:2" x14ac:dyDescent="0.35">
      <c r="A99" s="37" t="s">
        <v>711</v>
      </c>
      <c r="B99" s="4">
        <f>228</f>
        <v>228</v>
      </c>
    </row>
    <row r="100" spans="1:2" x14ac:dyDescent="0.35">
      <c r="A100" s="37" t="s">
        <v>710</v>
      </c>
      <c r="B100" s="5">
        <f>(B98)+(B99)</f>
        <v>228</v>
      </c>
    </row>
    <row r="101" spans="1:2" x14ac:dyDescent="0.35">
      <c r="A101" s="37" t="s">
        <v>709</v>
      </c>
      <c r="B101" s="38"/>
    </row>
    <row r="102" spans="1:2" x14ac:dyDescent="0.35">
      <c r="A102" s="37" t="s">
        <v>708</v>
      </c>
      <c r="B102" s="4">
        <f>521.6</f>
        <v>521.6</v>
      </c>
    </row>
    <row r="103" spans="1:2" x14ac:dyDescent="0.35">
      <c r="A103" s="37" t="s">
        <v>810</v>
      </c>
      <c r="B103" s="4">
        <f>-245</f>
        <v>-245</v>
      </c>
    </row>
    <row r="104" spans="1:2" x14ac:dyDescent="0.35">
      <c r="A104" s="37" t="s">
        <v>707</v>
      </c>
      <c r="B104" s="5">
        <f>((B101)+(B102))+(B103)</f>
        <v>276.60000000000002</v>
      </c>
    </row>
    <row r="105" spans="1:2" x14ac:dyDescent="0.35">
      <c r="A105" s="37" t="s">
        <v>706</v>
      </c>
      <c r="B105" s="5">
        <f>((((B92)+(B93))+(B97))+(B100))+(B104)</f>
        <v>3877.5099999999998</v>
      </c>
    </row>
    <row r="106" spans="1:2" x14ac:dyDescent="0.35">
      <c r="A106" s="37" t="s">
        <v>705</v>
      </c>
      <c r="B106" s="38"/>
    </row>
    <row r="107" spans="1:2" x14ac:dyDescent="0.35">
      <c r="A107" s="37" t="s">
        <v>704</v>
      </c>
      <c r="B107" s="4">
        <f>528</f>
        <v>528</v>
      </c>
    </row>
    <row r="108" spans="1:2" x14ac:dyDescent="0.35">
      <c r="A108" s="37" t="s">
        <v>703</v>
      </c>
      <c r="B108" s="4">
        <f>2271.09</f>
        <v>2271.09</v>
      </c>
    </row>
    <row r="109" spans="1:2" x14ac:dyDescent="0.35">
      <c r="A109" s="37" t="s">
        <v>809</v>
      </c>
      <c r="B109" s="4">
        <f>335</f>
        <v>335</v>
      </c>
    </row>
    <row r="110" spans="1:2" x14ac:dyDescent="0.35">
      <c r="A110" s="37" t="s">
        <v>700</v>
      </c>
      <c r="B110" s="4">
        <f>1037</f>
        <v>1037</v>
      </c>
    </row>
    <row r="111" spans="1:2" x14ac:dyDescent="0.35">
      <c r="A111" s="37" t="s">
        <v>808</v>
      </c>
      <c r="B111" s="38"/>
    </row>
    <row r="112" spans="1:2" x14ac:dyDescent="0.35">
      <c r="A112" s="37" t="s">
        <v>807</v>
      </c>
      <c r="B112" s="4">
        <f>551.37</f>
        <v>551.37</v>
      </c>
    </row>
    <row r="113" spans="1:2" x14ac:dyDescent="0.35">
      <c r="A113" s="37" t="s">
        <v>806</v>
      </c>
      <c r="B113" s="4">
        <f>1094.58</f>
        <v>1094.58</v>
      </c>
    </row>
    <row r="114" spans="1:2" x14ac:dyDescent="0.35">
      <c r="A114" s="37" t="s">
        <v>805</v>
      </c>
      <c r="B114" s="5">
        <f>((B111)+(B112))+(B113)</f>
        <v>1645.9499999999998</v>
      </c>
    </row>
    <row r="115" spans="1:2" x14ac:dyDescent="0.35">
      <c r="A115" s="37" t="s">
        <v>699</v>
      </c>
      <c r="B115" s="38"/>
    </row>
    <row r="116" spans="1:2" x14ac:dyDescent="0.35">
      <c r="A116" s="37" t="s">
        <v>698</v>
      </c>
      <c r="B116" s="4">
        <f>277.45</f>
        <v>277.45</v>
      </c>
    </row>
    <row r="117" spans="1:2" x14ac:dyDescent="0.35">
      <c r="A117" s="37" t="s">
        <v>697</v>
      </c>
      <c r="B117" s="5">
        <f>(B115)+(B116)</f>
        <v>277.45</v>
      </c>
    </row>
    <row r="118" spans="1:2" x14ac:dyDescent="0.35">
      <c r="A118" s="37" t="s">
        <v>696</v>
      </c>
      <c r="B118" s="38"/>
    </row>
    <row r="119" spans="1:2" x14ac:dyDescent="0.35">
      <c r="A119" s="37" t="s">
        <v>695</v>
      </c>
      <c r="B119" s="4">
        <f>-960</f>
        <v>-960</v>
      </c>
    </row>
    <row r="120" spans="1:2" x14ac:dyDescent="0.35">
      <c r="A120" s="37" t="s">
        <v>694</v>
      </c>
      <c r="B120" s="5">
        <f>(B118)+(B119)</f>
        <v>-960</v>
      </c>
    </row>
    <row r="121" spans="1:2" x14ac:dyDescent="0.35">
      <c r="A121" s="37" t="s">
        <v>693</v>
      </c>
      <c r="B121" s="5">
        <f>(((((((B106)+(B107))+(B108))+(B109))+(B110))+(B114))+(B117))+(B120)</f>
        <v>5134.49</v>
      </c>
    </row>
    <row r="122" spans="1:2" x14ac:dyDescent="0.35">
      <c r="A122" s="37" t="s">
        <v>692</v>
      </c>
      <c r="B122" s="5">
        <f>((((((B46)+(B51))+(B56))+(B61))+(B91))+(B105))+(B121)</f>
        <v>21907.519999999997</v>
      </c>
    </row>
    <row r="123" spans="1:2" x14ac:dyDescent="0.35">
      <c r="A123" s="37" t="s">
        <v>691</v>
      </c>
      <c r="B123" s="5">
        <f>(B41)-(B122)</f>
        <v>7276.5000000000073</v>
      </c>
    </row>
    <row r="124" spans="1:2" x14ac:dyDescent="0.35">
      <c r="A124" s="37" t="s">
        <v>690</v>
      </c>
      <c r="B124" s="5">
        <f>(B123)+(0)</f>
        <v>7276.5000000000073</v>
      </c>
    </row>
    <row r="125" spans="1:2" x14ac:dyDescent="0.35">
      <c r="A125" s="37"/>
      <c r="B125" s="38"/>
    </row>
    <row r="128" spans="1:2" x14ac:dyDescent="0.35">
      <c r="A128" s="170" t="s">
        <v>804</v>
      </c>
      <c r="B128" s="171"/>
    </row>
  </sheetData>
  <mergeCells count="4">
    <mergeCell ref="A128:B128"/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6"/>
  <sheetViews>
    <sheetView workbookViewId="0">
      <selection activeCell="B3" sqref="B3:BU3"/>
    </sheetView>
  </sheetViews>
  <sheetFormatPr defaultColWidth="9.1796875" defaultRowHeight="14.5" x14ac:dyDescent="0.35"/>
  <cols>
    <col min="1" max="1" width="34.453125" customWidth="1"/>
    <col min="2" max="2" width="28.453125" customWidth="1"/>
  </cols>
  <sheetData>
    <row r="1" spans="1:2" ht="18" x14ac:dyDescent="0.4">
      <c r="A1" s="172" t="s">
        <v>616</v>
      </c>
      <c r="B1" s="171"/>
    </row>
    <row r="2" spans="1:2" ht="18" x14ac:dyDescent="0.4">
      <c r="A2" s="172" t="s">
        <v>803</v>
      </c>
      <c r="B2" s="171"/>
    </row>
    <row r="3" spans="1:2" x14ac:dyDescent="0.35">
      <c r="A3" s="173" t="s">
        <v>828</v>
      </c>
      <c r="B3" s="171"/>
    </row>
    <row r="5" spans="1:2" x14ac:dyDescent="0.35">
      <c r="A5" s="39"/>
      <c r="B5" s="1" t="s">
        <v>801</v>
      </c>
    </row>
    <row r="6" spans="1:2" x14ac:dyDescent="0.35">
      <c r="A6" s="37" t="s">
        <v>800</v>
      </c>
      <c r="B6" s="38"/>
    </row>
    <row r="7" spans="1:2" x14ac:dyDescent="0.35">
      <c r="A7" s="37" t="s">
        <v>799</v>
      </c>
      <c r="B7" s="38"/>
    </row>
    <row r="8" spans="1:2" x14ac:dyDescent="0.35">
      <c r="A8" s="37" t="s">
        <v>798</v>
      </c>
      <c r="B8" s="4">
        <f>-6016.94</f>
        <v>-6016.94</v>
      </c>
    </row>
    <row r="9" spans="1:2" x14ac:dyDescent="0.35">
      <c r="A9" s="37" t="s">
        <v>796</v>
      </c>
      <c r="B9" s="4">
        <f>5978.67</f>
        <v>5978.67</v>
      </c>
    </row>
    <row r="10" spans="1:2" x14ac:dyDescent="0.35">
      <c r="A10" s="37" t="s">
        <v>795</v>
      </c>
      <c r="B10" s="5">
        <f>((B7)+(B8))+(B9)</f>
        <v>-38.269999999999527</v>
      </c>
    </row>
    <row r="11" spans="1:2" x14ac:dyDescent="0.35">
      <c r="A11" s="37" t="s">
        <v>790</v>
      </c>
      <c r="B11" s="38"/>
    </row>
    <row r="12" spans="1:2" x14ac:dyDescent="0.35">
      <c r="A12" s="37" t="s">
        <v>789</v>
      </c>
      <c r="B12" s="4">
        <f>589.68</f>
        <v>589.67999999999995</v>
      </c>
    </row>
    <row r="13" spans="1:2" x14ac:dyDescent="0.35">
      <c r="A13" s="37" t="s">
        <v>788</v>
      </c>
      <c r="B13" s="5">
        <f>(B11)+(B12)</f>
        <v>589.67999999999995</v>
      </c>
    </row>
    <row r="14" spans="1:2" x14ac:dyDescent="0.35">
      <c r="A14" s="37" t="s">
        <v>787</v>
      </c>
      <c r="B14" s="38"/>
    </row>
    <row r="15" spans="1:2" x14ac:dyDescent="0.35">
      <c r="A15" s="37" t="s">
        <v>786</v>
      </c>
      <c r="B15" s="4">
        <f>13945</f>
        <v>13945</v>
      </c>
    </row>
    <row r="16" spans="1:2" x14ac:dyDescent="0.35">
      <c r="A16" s="37" t="s">
        <v>784</v>
      </c>
      <c r="B16" s="5">
        <f>(B14)+(B15)</f>
        <v>13945</v>
      </c>
    </row>
    <row r="17" spans="1:2" x14ac:dyDescent="0.35">
      <c r="A17" s="37" t="s">
        <v>783</v>
      </c>
      <c r="B17" s="38"/>
    </row>
    <row r="18" spans="1:2" x14ac:dyDescent="0.35">
      <c r="A18" s="37" t="s">
        <v>782</v>
      </c>
      <c r="B18" s="4">
        <f>-3286.5</f>
        <v>-3286.5</v>
      </c>
    </row>
    <row r="19" spans="1:2" x14ac:dyDescent="0.35">
      <c r="A19" s="37" t="s">
        <v>781</v>
      </c>
      <c r="B19" s="4">
        <f>7740</f>
        <v>7740</v>
      </c>
    </row>
    <row r="20" spans="1:2" x14ac:dyDescent="0.35">
      <c r="A20" s="37" t="s">
        <v>780</v>
      </c>
      <c r="B20" s="5">
        <f>((B17)+(B18))+(B19)</f>
        <v>4453.5</v>
      </c>
    </row>
    <row r="21" spans="1:2" x14ac:dyDescent="0.35">
      <c r="A21" s="37" t="s">
        <v>779</v>
      </c>
      <c r="B21" s="38"/>
    </row>
    <row r="22" spans="1:2" x14ac:dyDescent="0.35">
      <c r="A22" s="37" t="s">
        <v>778</v>
      </c>
      <c r="B22" s="4">
        <f>84.23</f>
        <v>84.23</v>
      </c>
    </row>
    <row r="23" spans="1:2" x14ac:dyDescent="0.35">
      <c r="A23" s="37" t="s">
        <v>777</v>
      </c>
      <c r="B23" s="5">
        <f>(B21)+(B22)</f>
        <v>84.23</v>
      </c>
    </row>
    <row r="24" spans="1:2" x14ac:dyDescent="0.35">
      <c r="A24" s="37" t="s">
        <v>827</v>
      </c>
      <c r="B24" s="38"/>
    </row>
    <row r="25" spans="1:2" x14ac:dyDescent="0.35">
      <c r="A25" s="37" t="s">
        <v>826</v>
      </c>
      <c r="B25" s="4">
        <f>-165</f>
        <v>-165</v>
      </c>
    </row>
    <row r="26" spans="1:2" x14ac:dyDescent="0.35">
      <c r="A26" s="37" t="s">
        <v>825</v>
      </c>
      <c r="B26" s="5">
        <f>(B24)+(B25)</f>
        <v>-165</v>
      </c>
    </row>
    <row r="27" spans="1:2" x14ac:dyDescent="0.35">
      <c r="A27" s="37" t="s">
        <v>776</v>
      </c>
      <c r="B27" s="38"/>
    </row>
    <row r="28" spans="1:2" x14ac:dyDescent="0.35">
      <c r="A28" s="37" t="s">
        <v>775</v>
      </c>
      <c r="B28" s="4">
        <f>-142.46</f>
        <v>-142.46</v>
      </c>
    </row>
    <row r="29" spans="1:2" x14ac:dyDescent="0.35">
      <c r="A29" s="37" t="s">
        <v>774</v>
      </c>
      <c r="B29" s="4">
        <f>1242.22</f>
        <v>1242.22</v>
      </c>
    </row>
    <row r="30" spans="1:2" x14ac:dyDescent="0.35">
      <c r="A30" s="37" t="s">
        <v>772</v>
      </c>
      <c r="B30" s="5">
        <f>((B27)+(B28))+(B29)</f>
        <v>1099.76</v>
      </c>
    </row>
    <row r="31" spans="1:2" x14ac:dyDescent="0.35">
      <c r="A31" s="37" t="s">
        <v>814</v>
      </c>
      <c r="B31" s="38"/>
    </row>
    <row r="32" spans="1:2" x14ac:dyDescent="0.35">
      <c r="A32" s="37" t="s">
        <v>813</v>
      </c>
      <c r="B32" s="4">
        <f>-6177.64</f>
        <v>-6177.64</v>
      </c>
    </row>
    <row r="33" spans="1:2" x14ac:dyDescent="0.35">
      <c r="A33" s="37" t="s">
        <v>812</v>
      </c>
      <c r="B33" s="4">
        <f>7105.5</f>
        <v>7105.5</v>
      </c>
    </row>
    <row r="34" spans="1:2" x14ac:dyDescent="0.35">
      <c r="A34" s="37" t="s">
        <v>811</v>
      </c>
      <c r="B34" s="5">
        <f>((B31)+(B32))+(B33)</f>
        <v>927.85999999999967</v>
      </c>
    </row>
    <row r="35" spans="1:2" x14ac:dyDescent="0.35">
      <c r="A35" s="37" t="s">
        <v>771</v>
      </c>
      <c r="B35" s="5">
        <f>(((((((B10)+(B13))+(B16))+(B20))+(B23))+(B26))+(B30))+(B34)</f>
        <v>20896.759999999998</v>
      </c>
    </row>
    <row r="36" spans="1:2" x14ac:dyDescent="0.35">
      <c r="A36" s="37" t="s">
        <v>770</v>
      </c>
      <c r="B36" s="5">
        <f>(B35)-(0)</f>
        <v>20896.759999999998</v>
      </c>
    </row>
    <row r="37" spans="1:2" x14ac:dyDescent="0.35">
      <c r="A37" s="37" t="s">
        <v>769</v>
      </c>
      <c r="B37" s="38"/>
    </row>
    <row r="38" spans="1:2" x14ac:dyDescent="0.35">
      <c r="A38" s="37" t="s">
        <v>768</v>
      </c>
      <c r="B38" s="38"/>
    </row>
    <row r="39" spans="1:2" x14ac:dyDescent="0.35">
      <c r="A39" s="37" t="s">
        <v>767</v>
      </c>
      <c r="B39" s="4">
        <f>4721.32</f>
        <v>4721.32</v>
      </c>
    </row>
    <row r="40" spans="1:2" x14ac:dyDescent="0.35">
      <c r="A40" s="37" t="s">
        <v>766</v>
      </c>
      <c r="B40" s="4">
        <f>2701.67</f>
        <v>2701.67</v>
      </c>
    </row>
    <row r="41" spans="1:2" x14ac:dyDescent="0.35">
      <c r="A41" s="37" t="s">
        <v>765</v>
      </c>
      <c r="B41" s="5">
        <f>((B38)+(B39))+(B40)</f>
        <v>7422.99</v>
      </c>
    </row>
    <row r="42" spans="1:2" x14ac:dyDescent="0.35">
      <c r="A42" s="37" t="s">
        <v>764</v>
      </c>
      <c r="B42" s="38"/>
    </row>
    <row r="43" spans="1:2" x14ac:dyDescent="0.35">
      <c r="A43" s="37" t="s">
        <v>824</v>
      </c>
      <c r="B43" s="4">
        <f>0</f>
        <v>0</v>
      </c>
    </row>
    <row r="44" spans="1:2" x14ac:dyDescent="0.35">
      <c r="A44" s="37" t="s">
        <v>762</v>
      </c>
      <c r="B44" s="4">
        <f>294.82</f>
        <v>294.82</v>
      </c>
    </row>
    <row r="45" spans="1:2" x14ac:dyDescent="0.35">
      <c r="A45" s="37" t="s">
        <v>823</v>
      </c>
      <c r="B45" s="4">
        <f>40</f>
        <v>40</v>
      </c>
    </row>
    <row r="46" spans="1:2" x14ac:dyDescent="0.35">
      <c r="A46" s="37" t="s">
        <v>822</v>
      </c>
      <c r="B46" s="4">
        <f>51.84</f>
        <v>51.84</v>
      </c>
    </row>
    <row r="47" spans="1:2" x14ac:dyDescent="0.35">
      <c r="A47" s="37" t="s">
        <v>761</v>
      </c>
      <c r="B47" s="4">
        <f>118.83</f>
        <v>118.83</v>
      </c>
    </row>
    <row r="48" spans="1:2" x14ac:dyDescent="0.35">
      <c r="A48" s="37" t="s">
        <v>760</v>
      </c>
      <c r="B48" s="5">
        <f>(((((B42)+(B43))+(B44))+(B45))+(B46))+(B47)</f>
        <v>505.48999999999995</v>
      </c>
    </row>
    <row r="49" spans="1:2" x14ac:dyDescent="0.35">
      <c r="A49" s="37" t="s">
        <v>759</v>
      </c>
      <c r="B49" s="38"/>
    </row>
    <row r="50" spans="1:2" x14ac:dyDescent="0.35">
      <c r="A50" s="37" t="s">
        <v>758</v>
      </c>
      <c r="B50" s="4">
        <f>895</f>
        <v>895</v>
      </c>
    </row>
    <row r="51" spans="1:2" x14ac:dyDescent="0.35">
      <c r="A51" s="37" t="s">
        <v>757</v>
      </c>
      <c r="B51" s="4">
        <f>120</f>
        <v>120</v>
      </c>
    </row>
    <row r="52" spans="1:2" x14ac:dyDescent="0.35">
      <c r="A52" s="37" t="s">
        <v>756</v>
      </c>
      <c r="B52" s="4">
        <f>1683.08</f>
        <v>1683.08</v>
      </c>
    </row>
    <row r="53" spans="1:2" x14ac:dyDescent="0.35">
      <c r="A53" s="37" t="s">
        <v>755</v>
      </c>
      <c r="B53" s="5">
        <f>(((B49)+(B50))+(B51))+(B52)</f>
        <v>2698.08</v>
      </c>
    </row>
    <row r="54" spans="1:2" x14ac:dyDescent="0.35">
      <c r="A54" s="37" t="s">
        <v>754</v>
      </c>
      <c r="B54" s="38"/>
    </row>
    <row r="55" spans="1:2" x14ac:dyDescent="0.35">
      <c r="A55" s="37" t="s">
        <v>753</v>
      </c>
      <c r="B55" s="4">
        <f>1.1</f>
        <v>1.1000000000000001</v>
      </c>
    </row>
    <row r="56" spans="1:2" x14ac:dyDescent="0.35">
      <c r="A56" s="37" t="s">
        <v>752</v>
      </c>
      <c r="B56" s="4">
        <f>480</f>
        <v>480</v>
      </c>
    </row>
    <row r="57" spans="1:2" x14ac:dyDescent="0.35">
      <c r="A57" s="37" t="s">
        <v>751</v>
      </c>
      <c r="B57" s="4">
        <f>619.57</f>
        <v>619.57000000000005</v>
      </c>
    </row>
    <row r="58" spans="1:2" x14ac:dyDescent="0.35">
      <c r="A58" s="37" t="s">
        <v>750</v>
      </c>
      <c r="B58" s="4">
        <f>73.61</f>
        <v>73.61</v>
      </c>
    </row>
    <row r="59" spans="1:2" x14ac:dyDescent="0.35">
      <c r="A59" s="37" t="s">
        <v>749</v>
      </c>
      <c r="B59" s="5">
        <f>((((B54)+(B55))+(B56))+(B57))+(B58)</f>
        <v>1174.28</v>
      </c>
    </row>
    <row r="60" spans="1:2" x14ac:dyDescent="0.35">
      <c r="A60" s="37" t="s">
        <v>748</v>
      </c>
      <c r="B60" s="38"/>
    </row>
    <row r="61" spans="1:2" x14ac:dyDescent="0.35">
      <c r="A61" s="37" t="s">
        <v>747</v>
      </c>
      <c r="B61" s="38"/>
    </row>
    <row r="62" spans="1:2" x14ac:dyDescent="0.35">
      <c r="A62" s="37" t="s">
        <v>746</v>
      </c>
      <c r="B62" s="4">
        <f>140</f>
        <v>140</v>
      </c>
    </row>
    <row r="63" spans="1:2" x14ac:dyDescent="0.35">
      <c r="A63" s="37" t="s">
        <v>745</v>
      </c>
      <c r="B63" s="4">
        <f>-257.1</f>
        <v>-257.10000000000002</v>
      </c>
    </row>
    <row r="64" spans="1:2" x14ac:dyDescent="0.35">
      <c r="A64" s="37" t="s">
        <v>744</v>
      </c>
      <c r="B64" s="5">
        <f>((B61)+(B62))+(B63)</f>
        <v>-117.10000000000002</v>
      </c>
    </row>
    <row r="65" spans="1:2" x14ac:dyDescent="0.35">
      <c r="A65" s="37" t="s">
        <v>734</v>
      </c>
      <c r="B65" s="38"/>
    </row>
    <row r="66" spans="1:2" x14ac:dyDescent="0.35">
      <c r="A66" s="37" t="s">
        <v>733</v>
      </c>
      <c r="B66" s="4">
        <f>1460.15</f>
        <v>1460.15</v>
      </c>
    </row>
    <row r="67" spans="1:2" x14ac:dyDescent="0.35">
      <c r="A67" s="37" t="s">
        <v>732</v>
      </c>
      <c r="B67" s="4">
        <f>-2184</f>
        <v>-2184</v>
      </c>
    </row>
    <row r="68" spans="1:2" x14ac:dyDescent="0.35">
      <c r="A68" s="37" t="s">
        <v>731</v>
      </c>
      <c r="B68" s="5">
        <f>((B65)+(B66))+(B67)</f>
        <v>-723.84999999999991</v>
      </c>
    </row>
    <row r="69" spans="1:2" x14ac:dyDescent="0.35">
      <c r="A69" s="37" t="s">
        <v>729</v>
      </c>
      <c r="B69" s="38"/>
    </row>
    <row r="70" spans="1:2" x14ac:dyDescent="0.35">
      <c r="A70" s="37" t="s">
        <v>728</v>
      </c>
      <c r="B70" s="4">
        <f>1215</f>
        <v>1215</v>
      </c>
    </row>
    <row r="71" spans="1:2" x14ac:dyDescent="0.35">
      <c r="A71" s="37" t="s">
        <v>727</v>
      </c>
      <c r="B71" s="4">
        <f>-575</f>
        <v>-575</v>
      </c>
    </row>
    <row r="72" spans="1:2" x14ac:dyDescent="0.35">
      <c r="A72" s="37" t="s">
        <v>726</v>
      </c>
      <c r="B72" s="5">
        <f>((B69)+(B70))+(B71)</f>
        <v>640</v>
      </c>
    </row>
    <row r="73" spans="1:2" x14ac:dyDescent="0.35">
      <c r="A73" s="37" t="s">
        <v>821</v>
      </c>
      <c r="B73" s="38"/>
    </row>
    <row r="74" spans="1:2" x14ac:dyDescent="0.35">
      <c r="A74" s="37" t="s">
        <v>820</v>
      </c>
      <c r="B74" s="4">
        <f>1288.22</f>
        <v>1288.22</v>
      </c>
    </row>
    <row r="75" spans="1:2" x14ac:dyDescent="0.35">
      <c r="A75" s="37" t="s">
        <v>819</v>
      </c>
      <c r="B75" s="4">
        <f>-1250</f>
        <v>-1250</v>
      </c>
    </row>
    <row r="76" spans="1:2" x14ac:dyDescent="0.35">
      <c r="A76" s="37" t="s">
        <v>818</v>
      </c>
      <c r="B76" s="5">
        <f>((B73)+(B74))+(B75)</f>
        <v>38.220000000000027</v>
      </c>
    </row>
    <row r="77" spans="1:2" x14ac:dyDescent="0.35">
      <c r="A77" s="37" t="s">
        <v>817</v>
      </c>
      <c r="B77" s="4">
        <f>50</f>
        <v>50</v>
      </c>
    </row>
    <row r="78" spans="1:2" x14ac:dyDescent="0.35">
      <c r="A78" s="37" t="s">
        <v>722</v>
      </c>
      <c r="B78" s="4">
        <f>43.24</f>
        <v>43.24</v>
      </c>
    </row>
    <row r="79" spans="1:2" x14ac:dyDescent="0.35">
      <c r="A79" s="37" t="s">
        <v>721</v>
      </c>
      <c r="B79" s="4">
        <f>183.16</f>
        <v>183.16</v>
      </c>
    </row>
    <row r="80" spans="1:2" x14ac:dyDescent="0.35">
      <c r="A80" s="37" t="s">
        <v>719</v>
      </c>
      <c r="B80" s="5">
        <f>(((((((B60)+(B64))+(B68))+(B72))+(B76))+(B77))+(B78))+(B79)</f>
        <v>113.6700000000001</v>
      </c>
    </row>
    <row r="81" spans="1:2" x14ac:dyDescent="0.35">
      <c r="A81" s="37" t="s">
        <v>718</v>
      </c>
      <c r="B81" s="38"/>
    </row>
    <row r="82" spans="1:2" x14ac:dyDescent="0.35">
      <c r="A82" s="37" t="s">
        <v>717</v>
      </c>
      <c r="B82" s="4">
        <f>57.94</f>
        <v>57.94</v>
      </c>
    </row>
    <row r="83" spans="1:2" x14ac:dyDescent="0.35">
      <c r="A83" s="37" t="s">
        <v>712</v>
      </c>
      <c r="B83" s="38"/>
    </row>
    <row r="84" spans="1:2" x14ac:dyDescent="0.35">
      <c r="A84" s="37" t="s">
        <v>711</v>
      </c>
      <c r="B84" s="4">
        <f>350</f>
        <v>350</v>
      </c>
    </row>
    <row r="85" spans="1:2" x14ac:dyDescent="0.35">
      <c r="A85" s="37" t="s">
        <v>710</v>
      </c>
      <c r="B85" s="5">
        <f>(B83)+(B84)</f>
        <v>350</v>
      </c>
    </row>
    <row r="86" spans="1:2" x14ac:dyDescent="0.35">
      <c r="A86" s="37" t="s">
        <v>709</v>
      </c>
      <c r="B86" s="38"/>
    </row>
    <row r="87" spans="1:2" x14ac:dyDescent="0.35">
      <c r="A87" s="37" t="s">
        <v>708</v>
      </c>
      <c r="B87" s="4">
        <f>660.61</f>
        <v>660.61</v>
      </c>
    </row>
    <row r="88" spans="1:2" x14ac:dyDescent="0.35">
      <c r="A88" s="37" t="s">
        <v>707</v>
      </c>
      <c r="B88" s="5">
        <f>(B86)+(B87)</f>
        <v>660.61</v>
      </c>
    </row>
    <row r="89" spans="1:2" x14ac:dyDescent="0.35">
      <c r="A89" s="37" t="s">
        <v>706</v>
      </c>
      <c r="B89" s="5">
        <f>(((B81)+(B82))+(B85))+(B88)</f>
        <v>1068.55</v>
      </c>
    </row>
    <row r="90" spans="1:2" x14ac:dyDescent="0.35">
      <c r="A90" s="37" t="s">
        <v>705</v>
      </c>
      <c r="B90" s="38"/>
    </row>
    <row r="91" spans="1:2" x14ac:dyDescent="0.35">
      <c r="A91" s="37" t="s">
        <v>700</v>
      </c>
      <c r="B91" s="4">
        <f>1116</f>
        <v>1116</v>
      </c>
    </row>
    <row r="92" spans="1:2" x14ac:dyDescent="0.35">
      <c r="A92" s="37" t="s">
        <v>808</v>
      </c>
      <c r="B92" s="38"/>
    </row>
    <row r="93" spans="1:2" x14ac:dyDescent="0.35">
      <c r="A93" s="37" t="s">
        <v>807</v>
      </c>
      <c r="B93" s="4">
        <f>263.11</f>
        <v>263.11</v>
      </c>
    </row>
    <row r="94" spans="1:2" x14ac:dyDescent="0.35">
      <c r="A94" s="37" t="s">
        <v>806</v>
      </c>
      <c r="B94" s="4">
        <f>137.02</f>
        <v>137.02000000000001</v>
      </c>
    </row>
    <row r="95" spans="1:2" x14ac:dyDescent="0.35">
      <c r="A95" s="37" t="s">
        <v>805</v>
      </c>
      <c r="B95" s="5">
        <f>((B92)+(B93))+(B94)</f>
        <v>400.13</v>
      </c>
    </row>
    <row r="96" spans="1:2" x14ac:dyDescent="0.35">
      <c r="A96" s="37" t="s">
        <v>699</v>
      </c>
      <c r="B96" s="38"/>
    </row>
    <row r="97" spans="1:2" x14ac:dyDescent="0.35">
      <c r="A97" s="37" t="s">
        <v>698</v>
      </c>
      <c r="B97" s="4">
        <f>37.5</f>
        <v>37.5</v>
      </c>
    </row>
    <row r="98" spans="1:2" x14ac:dyDescent="0.35">
      <c r="A98" s="37" t="s">
        <v>697</v>
      </c>
      <c r="B98" s="5">
        <f>(B96)+(B97)</f>
        <v>37.5</v>
      </c>
    </row>
    <row r="99" spans="1:2" x14ac:dyDescent="0.35">
      <c r="A99" s="37" t="s">
        <v>693</v>
      </c>
      <c r="B99" s="5">
        <f>(((B90)+(B91))+(B95))+(B98)</f>
        <v>1553.63</v>
      </c>
    </row>
    <row r="100" spans="1:2" x14ac:dyDescent="0.35">
      <c r="A100" s="37" t="s">
        <v>692</v>
      </c>
      <c r="B100" s="5">
        <f>((((((B41)+(B48))+(B53))+(B59))+(B80))+(B89))+(B99)</f>
        <v>14536.689999999999</v>
      </c>
    </row>
    <row r="101" spans="1:2" x14ac:dyDescent="0.35">
      <c r="A101" s="37" t="s">
        <v>691</v>
      </c>
      <c r="B101" s="5">
        <f>(B36)-(B100)</f>
        <v>6360.07</v>
      </c>
    </row>
    <row r="102" spans="1:2" x14ac:dyDescent="0.35">
      <c r="A102" s="37" t="s">
        <v>690</v>
      </c>
      <c r="B102" s="5">
        <f>(B101)+(0)</f>
        <v>6360.07</v>
      </c>
    </row>
    <row r="103" spans="1:2" x14ac:dyDescent="0.35">
      <c r="A103" s="37"/>
      <c r="B103" s="38"/>
    </row>
    <row r="106" spans="1:2" x14ac:dyDescent="0.35">
      <c r="A106" s="170" t="s">
        <v>816</v>
      </c>
      <c r="B106" s="171"/>
    </row>
  </sheetData>
  <mergeCells count="4">
    <mergeCell ref="A106:B106"/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1"/>
  <sheetViews>
    <sheetView topLeftCell="E533" workbookViewId="0">
      <selection activeCell="H533" sqref="H533"/>
    </sheetView>
  </sheetViews>
  <sheetFormatPr defaultRowHeight="14.5" x14ac:dyDescent="0.35"/>
  <cols>
    <col min="1" max="1" width="45.54296875" customWidth="1"/>
    <col min="2" max="2" width="9.453125" customWidth="1"/>
    <col min="3" max="4" width="7.7265625" customWidth="1"/>
    <col min="5" max="5" width="36.1796875" customWidth="1"/>
    <col min="6" max="7" width="55.81640625" customWidth="1"/>
    <col min="8" max="8" width="10.26953125" customWidth="1"/>
    <col min="9" max="9" width="11" customWidth="1"/>
  </cols>
  <sheetData>
    <row r="1" spans="1:9" ht="18" x14ac:dyDescent="0.4">
      <c r="A1" s="172" t="s">
        <v>616</v>
      </c>
      <c r="B1" s="171"/>
      <c r="C1" s="171"/>
      <c r="D1" s="171"/>
      <c r="E1" s="171"/>
      <c r="F1" s="171"/>
      <c r="G1" s="171"/>
      <c r="H1" s="171"/>
      <c r="I1" s="171"/>
    </row>
    <row r="2" spans="1:9" ht="18" x14ac:dyDescent="0.4">
      <c r="A2" s="172" t="s">
        <v>617</v>
      </c>
      <c r="B2" s="171"/>
      <c r="C2" s="171"/>
      <c r="D2" s="171"/>
      <c r="E2" s="171"/>
      <c r="F2" s="171"/>
      <c r="G2" s="171"/>
      <c r="H2" s="171"/>
      <c r="I2" s="171"/>
    </row>
    <row r="3" spans="1:9" x14ac:dyDescent="0.35">
      <c r="A3" s="173" t="s">
        <v>618</v>
      </c>
      <c r="B3" s="171"/>
      <c r="C3" s="171"/>
      <c r="D3" s="171"/>
      <c r="E3" s="171"/>
      <c r="F3" s="171"/>
      <c r="G3" s="171"/>
      <c r="H3" s="171"/>
      <c r="I3" s="171"/>
    </row>
    <row r="5" spans="1:9" ht="24" x14ac:dyDescent="0.3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1:9" hidden="1" x14ac:dyDescent="0.35">
      <c r="A6" s="174" t="s">
        <v>8</v>
      </c>
    </row>
    <row r="7" spans="1:9" hidden="1" x14ac:dyDescent="0.35">
      <c r="B7" s="2" t="s">
        <v>9</v>
      </c>
      <c r="C7" s="2" t="s">
        <v>10</v>
      </c>
      <c r="D7" s="2"/>
      <c r="E7" s="2"/>
      <c r="F7" s="2"/>
      <c r="G7" s="3" t="s">
        <v>11</v>
      </c>
      <c r="H7" s="4">
        <v>980.1</v>
      </c>
      <c r="I7" s="4">
        <v>980.1</v>
      </c>
    </row>
    <row r="8" spans="1:9" hidden="1" x14ac:dyDescent="0.35">
      <c r="B8" s="2" t="s">
        <v>12</v>
      </c>
      <c r="C8" s="2" t="s">
        <v>10</v>
      </c>
      <c r="D8" s="2"/>
      <c r="E8" s="2"/>
      <c r="F8" s="2"/>
      <c r="G8" s="3" t="s">
        <v>11</v>
      </c>
      <c r="H8" s="4">
        <v>1956</v>
      </c>
      <c r="I8" s="4">
        <v>2936.1</v>
      </c>
    </row>
    <row r="9" spans="1:9" hidden="1" x14ac:dyDescent="0.35">
      <c r="B9" s="2" t="s">
        <v>12</v>
      </c>
      <c r="C9" s="2" t="s">
        <v>10</v>
      </c>
      <c r="D9" s="2"/>
      <c r="E9" s="2" t="s">
        <v>13</v>
      </c>
      <c r="F9" s="2"/>
      <c r="G9" s="2" t="s">
        <v>14</v>
      </c>
      <c r="H9" s="4">
        <v>12.23</v>
      </c>
      <c r="I9" s="4">
        <v>2948.33</v>
      </c>
    </row>
    <row r="10" spans="1:9" hidden="1" x14ac:dyDescent="0.35">
      <c r="B10" s="2" t="s">
        <v>15</v>
      </c>
      <c r="C10" s="2" t="s">
        <v>16</v>
      </c>
      <c r="D10" s="2">
        <v>2460</v>
      </c>
      <c r="E10" s="2" t="s">
        <v>17</v>
      </c>
      <c r="F10" s="2"/>
      <c r="G10" s="2" t="s">
        <v>18</v>
      </c>
      <c r="H10" s="4">
        <v>-1666.91</v>
      </c>
      <c r="I10" s="4">
        <v>1281.42</v>
      </c>
    </row>
    <row r="11" spans="1:9" hidden="1" x14ac:dyDescent="0.35">
      <c r="B11" s="2" t="s">
        <v>15</v>
      </c>
      <c r="C11" s="2" t="s">
        <v>16</v>
      </c>
      <c r="D11" s="2">
        <v>2461</v>
      </c>
      <c r="E11" s="2" t="s">
        <v>17</v>
      </c>
      <c r="F11" s="2"/>
      <c r="G11" s="2" t="s">
        <v>19</v>
      </c>
      <c r="H11" s="4">
        <v>-319</v>
      </c>
      <c r="I11" s="4">
        <v>962.42</v>
      </c>
    </row>
    <row r="12" spans="1:9" hidden="1" x14ac:dyDescent="0.35">
      <c r="B12" s="2" t="s">
        <v>20</v>
      </c>
      <c r="C12" s="2" t="s">
        <v>16</v>
      </c>
      <c r="D12" s="2">
        <v>2462</v>
      </c>
      <c r="E12" s="2" t="s">
        <v>21</v>
      </c>
      <c r="F12" s="2"/>
      <c r="G12" s="2" t="s">
        <v>22</v>
      </c>
      <c r="H12" s="4">
        <v>-228</v>
      </c>
      <c r="I12" s="4">
        <v>734.42</v>
      </c>
    </row>
    <row r="13" spans="1:9" hidden="1" x14ac:dyDescent="0.35">
      <c r="B13" s="2" t="s">
        <v>20</v>
      </c>
      <c r="C13" s="2" t="s">
        <v>16</v>
      </c>
      <c r="D13" s="2">
        <v>2463</v>
      </c>
      <c r="E13" s="2" t="s">
        <v>23</v>
      </c>
      <c r="F13" s="2"/>
      <c r="G13" s="2" t="s">
        <v>24</v>
      </c>
      <c r="H13" s="4">
        <v>-150</v>
      </c>
      <c r="I13" s="4">
        <v>584.41999999999996</v>
      </c>
    </row>
    <row r="14" spans="1:9" hidden="1" x14ac:dyDescent="0.35">
      <c r="B14" s="2" t="s">
        <v>25</v>
      </c>
      <c r="C14" s="2" t="s">
        <v>10</v>
      </c>
      <c r="D14" s="2"/>
      <c r="E14" s="2"/>
      <c r="F14" s="2"/>
      <c r="G14" s="3" t="s">
        <v>11</v>
      </c>
      <c r="H14" s="4">
        <v>170.18</v>
      </c>
      <c r="I14" s="4">
        <v>754.6</v>
      </c>
    </row>
    <row r="15" spans="1:9" hidden="1" x14ac:dyDescent="0.35">
      <c r="B15" s="2" t="s">
        <v>26</v>
      </c>
      <c r="C15" s="2" t="s">
        <v>10</v>
      </c>
      <c r="D15" s="2"/>
      <c r="E15" s="2"/>
      <c r="F15" s="2"/>
      <c r="G15" s="3" t="s">
        <v>11</v>
      </c>
      <c r="H15" s="4">
        <v>600</v>
      </c>
      <c r="I15" s="4">
        <v>1354.6</v>
      </c>
    </row>
    <row r="16" spans="1:9" hidden="1" x14ac:dyDescent="0.35">
      <c r="B16" s="2" t="s">
        <v>27</v>
      </c>
      <c r="C16" s="2" t="s">
        <v>16</v>
      </c>
      <c r="D16" s="2">
        <v>2466</v>
      </c>
      <c r="E16" s="2" t="s">
        <v>28</v>
      </c>
      <c r="F16" s="2"/>
      <c r="G16" s="2" t="s">
        <v>29</v>
      </c>
      <c r="H16" s="4">
        <v>-1037</v>
      </c>
      <c r="I16" s="4">
        <v>317.60000000000002</v>
      </c>
    </row>
    <row r="17" spans="2:9" hidden="1" x14ac:dyDescent="0.35">
      <c r="B17" s="2" t="s">
        <v>27</v>
      </c>
      <c r="C17" s="2" t="s">
        <v>16</v>
      </c>
      <c r="D17" s="2">
        <v>2465</v>
      </c>
      <c r="E17" s="2" t="s">
        <v>30</v>
      </c>
      <c r="F17" s="2"/>
      <c r="G17" s="2" t="s">
        <v>24</v>
      </c>
      <c r="H17" s="4">
        <v>-85.71</v>
      </c>
      <c r="I17" s="4">
        <v>231.89</v>
      </c>
    </row>
    <row r="18" spans="2:9" hidden="1" x14ac:dyDescent="0.35">
      <c r="B18" s="2" t="s">
        <v>27</v>
      </c>
      <c r="C18" s="2" t="s">
        <v>16</v>
      </c>
      <c r="D18" s="2">
        <v>2464</v>
      </c>
      <c r="E18" s="2" t="s">
        <v>31</v>
      </c>
      <c r="F18" s="2"/>
      <c r="G18" s="2" t="s">
        <v>24</v>
      </c>
      <c r="H18" s="4">
        <v>-121.6</v>
      </c>
      <c r="I18" s="4">
        <v>110.29</v>
      </c>
    </row>
    <row r="19" spans="2:9" hidden="1" x14ac:dyDescent="0.35">
      <c r="B19" s="2" t="s">
        <v>27</v>
      </c>
      <c r="C19" s="2" t="s">
        <v>10</v>
      </c>
      <c r="D19" s="2"/>
      <c r="E19" s="2"/>
      <c r="F19" s="2"/>
      <c r="G19" s="3" t="s">
        <v>11</v>
      </c>
      <c r="H19" s="4">
        <v>295</v>
      </c>
      <c r="I19" s="4">
        <v>405.29</v>
      </c>
    </row>
    <row r="20" spans="2:9" hidden="1" x14ac:dyDescent="0.35">
      <c r="B20" s="2" t="s">
        <v>32</v>
      </c>
      <c r="C20" s="2" t="s">
        <v>16</v>
      </c>
      <c r="D20" s="2">
        <v>2468</v>
      </c>
      <c r="E20" s="2" t="s">
        <v>33</v>
      </c>
      <c r="F20" s="2"/>
      <c r="G20" s="2" t="s">
        <v>24</v>
      </c>
      <c r="H20" s="4">
        <v>-102.05</v>
      </c>
      <c r="I20" s="4">
        <v>303.24</v>
      </c>
    </row>
    <row r="21" spans="2:9" hidden="1" x14ac:dyDescent="0.35">
      <c r="B21" s="2" t="s">
        <v>32</v>
      </c>
      <c r="C21" s="2" t="s">
        <v>16</v>
      </c>
      <c r="D21" s="2">
        <v>2467</v>
      </c>
      <c r="E21" s="2" t="s">
        <v>34</v>
      </c>
      <c r="F21" s="2"/>
      <c r="G21" s="2" t="s">
        <v>35</v>
      </c>
      <c r="H21" s="4">
        <v>-1188.67</v>
      </c>
      <c r="I21" s="4">
        <v>-885.43</v>
      </c>
    </row>
    <row r="22" spans="2:9" hidden="1" x14ac:dyDescent="0.35">
      <c r="B22" s="2" t="s">
        <v>32</v>
      </c>
      <c r="C22" s="2" t="s">
        <v>10</v>
      </c>
      <c r="D22" s="2"/>
      <c r="E22" s="2"/>
      <c r="F22" s="2"/>
      <c r="G22" s="3" t="s">
        <v>11</v>
      </c>
      <c r="H22" s="4">
        <v>606.71</v>
      </c>
      <c r="I22" s="4">
        <v>-278.72000000000003</v>
      </c>
    </row>
    <row r="23" spans="2:9" hidden="1" x14ac:dyDescent="0.35">
      <c r="B23" s="2" t="s">
        <v>36</v>
      </c>
      <c r="C23" s="2" t="s">
        <v>10</v>
      </c>
      <c r="D23" s="2"/>
      <c r="E23" s="2"/>
      <c r="F23" s="2"/>
      <c r="G23" s="3" t="s">
        <v>11</v>
      </c>
      <c r="H23" s="4">
        <v>120.47</v>
      </c>
      <c r="I23" s="4">
        <v>-158.25</v>
      </c>
    </row>
    <row r="24" spans="2:9" hidden="1" x14ac:dyDescent="0.35">
      <c r="B24" s="2" t="s">
        <v>36</v>
      </c>
      <c r="C24" s="2" t="s">
        <v>10</v>
      </c>
      <c r="D24" s="2"/>
      <c r="E24" s="2"/>
      <c r="F24" s="2"/>
      <c r="G24" s="3" t="s">
        <v>11</v>
      </c>
      <c r="H24" s="4">
        <v>440</v>
      </c>
      <c r="I24" s="4">
        <v>281.75</v>
      </c>
    </row>
    <row r="25" spans="2:9" hidden="1" x14ac:dyDescent="0.35">
      <c r="B25" s="2" t="s">
        <v>37</v>
      </c>
      <c r="C25" s="2" t="s">
        <v>16</v>
      </c>
      <c r="D25" s="2">
        <v>2469</v>
      </c>
      <c r="E25" s="2" t="s">
        <v>38</v>
      </c>
      <c r="F25" s="2"/>
      <c r="G25" s="2" t="s">
        <v>39</v>
      </c>
      <c r="H25" s="4">
        <v>-400</v>
      </c>
      <c r="I25" s="4">
        <v>-118.25</v>
      </c>
    </row>
    <row r="26" spans="2:9" hidden="1" x14ac:dyDescent="0.35">
      <c r="B26" s="2" t="s">
        <v>40</v>
      </c>
      <c r="C26" s="2" t="s">
        <v>16</v>
      </c>
      <c r="D26" s="2">
        <v>2471</v>
      </c>
      <c r="E26" s="2" t="s">
        <v>41</v>
      </c>
      <c r="F26" s="2"/>
      <c r="G26" s="2" t="s">
        <v>42</v>
      </c>
      <c r="H26" s="4">
        <v>-140</v>
      </c>
      <c r="I26" s="4">
        <v>-258.25</v>
      </c>
    </row>
    <row r="27" spans="2:9" hidden="1" x14ac:dyDescent="0.35">
      <c r="B27" s="2" t="s">
        <v>40</v>
      </c>
      <c r="C27" s="2" t="s">
        <v>16</v>
      </c>
      <c r="D27" s="2">
        <v>2470</v>
      </c>
      <c r="E27" s="2" t="s">
        <v>43</v>
      </c>
      <c r="F27" s="2"/>
      <c r="G27" s="2" t="s">
        <v>24</v>
      </c>
      <c r="H27" s="4">
        <v>-147.22999999999999</v>
      </c>
      <c r="I27" s="4">
        <v>-405.48</v>
      </c>
    </row>
    <row r="28" spans="2:9" hidden="1" x14ac:dyDescent="0.35">
      <c r="B28" s="2" t="s">
        <v>44</v>
      </c>
      <c r="C28" s="2" t="s">
        <v>10</v>
      </c>
      <c r="D28" s="2"/>
      <c r="E28" s="2"/>
      <c r="F28" s="2"/>
      <c r="G28" s="3" t="s">
        <v>11</v>
      </c>
      <c r="H28" s="4">
        <v>420</v>
      </c>
      <c r="I28" s="4">
        <v>14.52</v>
      </c>
    </row>
    <row r="29" spans="2:9" hidden="1" x14ac:dyDescent="0.35">
      <c r="B29" s="2" t="s">
        <v>45</v>
      </c>
      <c r="C29" s="2" t="s">
        <v>16</v>
      </c>
      <c r="D29" s="2">
        <v>2475</v>
      </c>
      <c r="E29" s="2" t="s">
        <v>46</v>
      </c>
      <c r="F29" s="2" t="s">
        <v>47</v>
      </c>
      <c r="G29" s="2" t="s">
        <v>48</v>
      </c>
      <c r="H29" s="4">
        <v>-443</v>
      </c>
      <c r="I29" s="4">
        <v>-428.48</v>
      </c>
    </row>
    <row r="30" spans="2:9" hidden="1" x14ac:dyDescent="0.35">
      <c r="B30" s="2" t="s">
        <v>45</v>
      </c>
      <c r="C30" s="2" t="s">
        <v>16</v>
      </c>
      <c r="D30" s="2">
        <v>2472</v>
      </c>
      <c r="E30" s="2" t="s">
        <v>49</v>
      </c>
      <c r="F30" s="2"/>
      <c r="G30" s="2" t="s">
        <v>24</v>
      </c>
      <c r="H30" s="4">
        <v>-123.42</v>
      </c>
      <c r="I30" s="4">
        <v>-551.9</v>
      </c>
    </row>
    <row r="31" spans="2:9" hidden="1" x14ac:dyDescent="0.35">
      <c r="B31" s="2" t="s">
        <v>45</v>
      </c>
      <c r="C31" s="2" t="s">
        <v>16</v>
      </c>
      <c r="D31" s="2">
        <v>2473</v>
      </c>
      <c r="E31" s="2" t="s">
        <v>50</v>
      </c>
      <c r="F31" s="2"/>
      <c r="G31" s="2" t="s">
        <v>24</v>
      </c>
      <c r="H31" s="4">
        <v>-150</v>
      </c>
      <c r="I31" s="4">
        <v>-701.9</v>
      </c>
    </row>
    <row r="32" spans="2:9" hidden="1" x14ac:dyDescent="0.35">
      <c r="B32" s="2" t="s">
        <v>45</v>
      </c>
      <c r="C32" s="2" t="s">
        <v>16</v>
      </c>
      <c r="D32" s="2">
        <v>2474</v>
      </c>
      <c r="E32" s="2" t="s">
        <v>51</v>
      </c>
      <c r="F32" s="2" t="s">
        <v>52</v>
      </c>
      <c r="G32" s="2" t="s">
        <v>48</v>
      </c>
      <c r="H32" s="4">
        <v>-1882.75</v>
      </c>
      <c r="I32" s="4">
        <v>-2584.65</v>
      </c>
    </row>
    <row r="33" spans="2:9" hidden="1" x14ac:dyDescent="0.35">
      <c r="B33" s="2" t="s">
        <v>45</v>
      </c>
      <c r="C33" s="2" t="s">
        <v>10</v>
      </c>
      <c r="D33" s="2"/>
      <c r="E33" s="2"/>
      <c r="F33" s="2"/>
      <c r="G33" s="3" t="s">
        <v>11</v>
      </c>
      <c r="H33" s="4">
        <v>18865.25</v>
      </c>
      <c r="I33" s="4">
        <v>16280.6</v>
      </c>
    </row>
    <row r="34" spans="2:9" hidden="1" x14ac:dyDescent="0.35">
      <c r="B34" s="2" t="s">
        <v>45</v>
      </c>
      <c r="C34" s="2" t="s">
        <v>10</v>
      </c>
      <c r="D34" s="2"/>
      <c r="E34" s="2"/>
      <c r="F34" s="2"/>
      <c r="G34" s="3" t="s">
        <v>11</v>
      </c>
      <c r="H34" s="4">
        <v>48.6</v>
      </c>
      <c r="I34" s="4">
        <v>16329.2</v>
      </c>
    </row>
    <row r="35" spans="2:9" hidden="1" x14ac:dyDescent="0.35">
      <c r="B35" s="2" t="s">
        <v>53</v>
      </c>
      <c r="C35" s="2" t="s">
        <v>16</v>
      </c>
      <c r="D35" s="2">
        <v>2478</v>
      </c>
      <c r="E35" s="2" t="s">
        <v>54</v>
      </c>
      <c r="F35" s="2"/>
      <c r="G35" s="2" t="s">
        <v>24</v>
      </c>
      <c r="H35" s="4">
        <v>-150</v>
      </c>
      <c r="I35" s="4">
        <v>16179.2</v>
      </c>
    </row>
    <row r="36" spans="2:9" hidden="1" x14ac:dyDescent="0.35">
      <c r="B36" s="2" t="s">
        <v>53</v>
      </c>
      <c r="C36" s="2" t="s">
        <v>16</v>
      </c>
      <c r="D36" s="2">
        <v>2479</v>
      </c>
      <c r="E36" s="2" t="s">
        <v>55</v>
      </c>
      <c r="F36" s="2"/>
      <c r="G36" s="2" t="s">
        <v>24</v>
      </c>
      <c r="H36" s="4">
        <v>-150</v>
      </c>
      <c r="I36" s="4">
        <v>16029.2</v>
      </c>
    </row>
    <row r="37" spans="2:9" hidden="1" x14ac:dyDescent="0.35">
      <c r="B37" s="2" t="s">
        <v>53</v>
      </c>
      <c r="C37" s="2" t="s">
        <v>16</v>
      </c>
      <c r="D37" s="2">
        <v>2477</v>
      </c>
      <c r="E37" s="2" t="s">
        <v>56</v>
      </c>
      <c r="F37" s="2"/>
      <c r="G37" s="2" t="s">
        <v>24</v>
      </c>
      <c r="H37" s="4">
        <v>-137.68</v>
      </c>
      <c r="I37" s="4">
        <v>15891.52</v>
      </c>
    </row>
    <row r="38" spans="2:9" hidden="1" x14ac:dyDescent="0.35">
      <c r="B38" s="2" t="s">
        <v>53</v>
      </c>
      <c r="C38" s="2" t="s">
        <v>16</v>
      </c>
      <c r="D38" s="2">
        <v>2476</v>
      </c>
      <c r="E38" s="2" t="s">
        <v>57</v>
      </c>
      <c r="F38" s="2"/>
      <c r="G38" s="2" t="s">
        <v>58</v>
      </c>
      <c r="H38" s="4">
        <v>-67.94</v>
      </c>
      <c r="I38" s="4">
        <v>15823.58</v>
      </c>
    </row>
    <row r="39" spans="2:9" hidden="1" x14ac:dyDescent="0.35">
      <c r="B39" s="2" t="s">
        <v>59</v>
      </c>
      <c r="C39" s="2" t="s">
        <v>16</v>
      </c>
      <c r="D39" s="2">
        <v>2480</v>
      </c>
      <c r="E39" s="2" t="s">
        <v>60</v>
      </c>
      <c r="F39" s="2"/>
      <c r="G39" s="3" t="s">
        <v>11</v>
      </c>
      <c r="H39" s="4">
        <v>-839</v>
      </c>
      <c r="I39" s="4">
        <v>14984.58</v>
      </c>
    </row>
    <row r="40" spans="2:9" hidden="1" x14ac:dyDescent="0.35">
      <c r="B40" s="2" t="s">
        <v>61</v>
      </c>
      <c r="C40" s="2" t="s">
        <v>10</v>
      </c>
      <c r="D40" s="2"/>
      <c r="E40" s="2" t="s">
        <v>21</v>
      </c>
      <c r="F40" s="2"/>
      <c r="G40" s="2" t="s">
        <v>62</v>
      </c>
      <c r="H40" s="4">
        <v>126.8</v>
      </c>
      <c r="I40" s="4">
        <v>15111.38</v>
      </c>
    </row>
    <row r="41" spans="2:9" hidden="1" x14ac:dyDescent="0.35">
      <c r="B41" s="2" t="s">
        <v>61</v>
      </c>
      <c r="C41" s="2" t="s">
        <v>10</v>
      </c>
      <c r="D41" s="2"/>
      <c r="E41" s="2"/>
      <c r="F41" s="2"/>
      <c r="G41" s="3" t="s">
        <v>11</v>
      </c>
      <c r="H41" s="4">
        <v>150</v>
      </c>
      <c r="I41" s="4">
        <v>15261.38</v>
      </c>
    </row>
    <row r="42" spans="2:9" hidden="1" x14ac:dyDescent="0.35">
      <c r="B42" s="2" t="s">
        <v>63</v>
      </c>
      <c r="C42" s="2" t="s">
        <v>16</v>
      </c>
      <c r="D42" s="2">
        <v>2481</v>
      </c>
      <c r="E42" s="2" t="s">
        <v>64</v>
      </c>
      <c r="F42" s="2"/>
      <c r="G42" s="2" t="s">
        <v>65</v>
      </c>
      <c r="H42" s="4">
        <v>-250</v>
      </c>
      <c r="I42" s="4">
        <v>15011.38</v>
      </c>
    </row>
    <row r="43" spans="2:9" hidden="1" x14ac:dyDescent="0.35">
      <c r="B43" s="2" t="s">
        <v>63</v>
      </c>
      <c r="C43" s="2" t="s">
        <v>16</v>
      </c>
      <c r="D43" s="2">
        <v>2482</v>
      </c>
      <c r="E43" s="2" t="s">
        <v>66</v>
      </c>
      <c r="F43" s="2"/>
      <c r="G43" s="2" t="s">
        <v>67</v>
      </c>
      <c r="H43" s="4">
        <v>-60</v>
      </c>
      <c r="I43" s="4">
        <v>14951.38</v>
      </c>
    </row>
    <row r="44" spans="2:9" hidden="1" x14ac:dyDescent="0.35">
      <c r="B44" s="2" t="s">
        <v>68</v>
      </c>
      <c r="C44" s="2" t="s">
        <v>10</v>
      </c>
      <c r="D44" s="2"/>
      <c r="E44" s="2"/>
      <c r="F44" s="2"/>
      <c r="G44" s="3" t="s">
        <v>11</v>
      </c>
      <c r="H44" s="4">
        <v>285</v>
      </c>
      <c r="I44" s="4">
        <v>15236.38</v>
      </c>
    </row>
    <row r="45" spans="2:9" hidden="1" x14ac:dyDescent="0.35">
      <c r="B45" s="2" t="s">
        <v>69</v>
      </c>
      <c r="C45" s="2" t="s">
        <v>10</v>
      </c>
      <c r="D45" s="2"/>
      <c r="E45" s="2" t="s">
        <v>70</v>
      </c>
      <c r="F45" s="2"/>
      <c r="G45" s="2" t="s">
        <v>71</v>
      </c>
      <c r="H45" s="4">
        <v>2166.89</v>
      </c>
      <c r="I45" s="4">
        <v>17403.27</v>
      </c>
    </row>
    <row r="46" spans="2:9" hidden="1" x14ac:dyDescent="0.35">
      <c r="B46" s="2" t="s">
        <v>69</v>
      </c>
      <c r="C46" s="2" t="s">
        <v>10</v>
      </c>
      <c r="D46" s="2"/>
      <c r="E46" s="2"/>
      <c r="F46" s="2"/>
      <c r="G46" s="3" t="s">
        <v>11</v>
      </c>
      <c r="H46" s="4">
        <v>100</v>
      </c>
      <c r="I46" s="4">
        <v>17503.27</v>
      </c>
    </row>
    <row r="47" spans="2:9" hidden="1" x14ac:dyDescent="0.35">
      <c r="B47" s="2" t="s">
        <v>72</v>
      </c>
      <c r="C47" s="2" t="s">
        <v>10</v>
      </c>
      <c r="D47" s="2"/>
      <c r="E47" s="2" t="s">
        <v>73</v>
      </c>
      <c r="F47" s="2"/>
      <c r="G47" s="2" t="s">
        <v>71</v>
      </c>
      <c r="H47" s="4">
        <v>2979.99</v>
      </c>
      <c r="I47" s="4">
        <v>20483.259999999998</v>
      </c>
    </row>
    <row r="48" spans="2:9" hidden="1" x14ac:dyDescent="0.35">
      <c r="B48" s="2" t="s">
        <v>72</v>
      </c>
      <c r="C48" s="2" t="s">
        <v>10</v>
      </c>
      <c r="D48" s="2"/>
      <c r="E48" s="2" t="s">
        <v>73</v>
      </c>
      <c r="F48" s="2"/>
      <c r="G48" s="2" t="s">
        <v>71</v>
      </c>
      <c r="H48" s="4">
        <v>1227.3499999999999</v>
      </c>
      <c r="I48" s="4">
        <v>21710.61</v>
      </c>
    </row>
    <row r="49" spans="2:9" hidden="1" x14ac:dyDescent="0.35">
      <c r="B49" s="2" t="s">
        <v>72</v>
      </c>
      <c r="C49" s="2" t="s">
        <v>10</v>
      </c>
      <c r="D49" s="2"/>
      <c r="E49" s="2" t="s">
        <v>64</v>
      </c>
      <c r="F49" s="2"/>
      <c r="G49" s="2" t="s">
        <v>71</v>
      </c>
      <c r="H49" s="4">
        <v>250</v>
      </c>
      <c r="I49" s="4">
        <v>21960.61</v>
      </c>
    </row>
    <row r="50" spans="2:9" hidden="1" x14ac:dyDescent="0.35">
      <c r="B50" s="2" t="s">
        <v>74</v>
      </c>
      <c r="C50" s="2" t="s">
        <v>10</v>
      </c>
      <c r="D50" s="2"/>
      <c r="E50" s="2"/>
      <c r="F50" s="2"/>
      <c r="G50" s="3" t="s">
        <v>11</v>
      </c>
      <c r="H50" s="4">
        <v>2388.2399999999998</v>
      </c>
      <c r="I50" s="4">
        <v>24348.85</v>
      </c>
    </row>
    <row r="51" spans="2:9" hidden="1" x14ac:dyDescent="0.35">
      <c r="B51" s="2" t="s">
        <v>75</v>
      </c>
      <c r="C51" s="2" t="s">
        <v>16</v>
      </c>
      <c r="D51" s="2">
        <v>2484</v>
      </c>
      <c r="E51" s="2" t="s">
        <v>76</v>
      </c>
      <c r="F51" s="2"/>
      <c r="G51" s="2" t="s">
        <v>18</v>
      </c>
      <c r="H51" s="4">
        <v>-738.73</v>
      </c>
      <c r="I51" s="4">
        <v>23610.12</v>
      </c>
    </row>
    <row r="52" spans="2:9" hidden="1" x14ac:dyDescent="0.35">
      <c r="B52" s="2" t="s">
        <v>75</v>
      </c>
      <c r="C52" s="2" t="s">
        <v>16</v>
      </c>
      <c r="D52" s="2">
        <v>2483</v>
      </c>
      <c r="E52" s="2" t="s">
        <v>17</v>
      </c>
      <c r="F52" s="2"/>
      <c r="G52" s="2" t="s">
        <v>18</v>
      </c>
      <c r="H52" s="4">
        <v>-737</v>
      </c>
      <c r="I52" s="4">
        <v>22873.119999999999</v>
      </c>
    </row>
    <row r="53" spans="2:9" hidden="1" x14ac:dyDescent="0.35">
      <c r="B53" s="2" t="s">
        <v>77</v>
      </c>
      <c r="C53" s="2" t="s">
        <v>16</v>
      </c>
      <c r="D53" s="2">
        <v>2485</v>
      </c>
      <c r="E53" s="2" t="s">
        <v>78</v>
      </c>
      <c r="F53" s="2"/>
      <c r="G53" s="2" t="s">
        <v>79</v>
      </c>
      <c r="H53" s="4">
        <v>-12.98</v>
      </c>
      <c r="I53" s="4">
        <v>22860.14</v>
      </c>
    </row>
    <row r="54" spans="2:9" hidden="1" x14ac:dyDescent="0.35">
      <c r="B54" s="2" t="s">
        <v>77</v>
      </c>
      <c r="C54" s="2" t="s">
        <v>16</v>
      </c>
      <c r="D54" s="2">
        <v>2486</v>
      </c>
      <c r="E54" s="2" t="s">
        <v>80</v>
      </c>
      <c r="F54" s="2"/>
      <c r="G54" s="2" t="s">
        <v>24</v>
      </c>
      <c r="H54" s="4">
        <v>-45.21</v>
      </c>
      <c r="I54" s="4">
        <v>22814.93</v>
      </c>
    </row>
    <row r="55" spans="2:9" hidden="1" x14ac:dyDescent="0.35">
      <c r="B55" s="2" t="s">
        <v>81</v>
      </c>
      <c r="C55" s="2" t="s">
        <v>10</v>
      </c>
      <c r="D55" s="2"/>
      <c r="E55" s="2" t="s">
        <v>13</v>
      </c>
      <c r="F55" s="2"/>
      <c r="G55" s="2" t="s">
        <v>14</v>
      </c>
      <c r="H55" s="4">
        <v>5.08</v>
      </c>
      <c r="I55" s="4">
        <v>22820.01</v>
      </c>
    </row>
    <row r="56" spans="2:9" hidden="1" x14ac:dyDescent="0.35">
      <c r="B56" s="2" t="s">
        <v>82</v>
      </c>
      <c r="C56" s="2" t="s">
        <v>16</v>
      </c>
      <c r="D56" s="2">
        <v>2488</v>
      </c>
      <c r="E56" s="2" t="s">
        <v>78</v>
      </c>
      <c r="F56" s="2"/>
      <c r="G56" s="2" t="s">
        <v>79</v>
      </c>
      <c r="H56" s="4">
        <v>-15.47</v>
      </c>
      <c r="I56" s="4">
        <v>22804.54</v>
      </c>
    </row>
    <row r="57" spans="2:9" hidden="1" x14ac:dyDescent="0.35">
      <c r="B57" s="2" t="s">
        <v>82</v>
      </c>
      <c r="C57" s="2" t="s">
        <v>16</v>
      </c>
      <c r="D57" s="2">
        <v>2487</v>
      </c>
      <c r="E57" s="2" t="s">
        <v>83</v>
      </c>
      <c r="F57" s="2"/>
      <c r="G57" s="2" t="s">
        <v>79</v>
      </c>
      <c r="H57" s="4">
        <v>-19.829999999999998</v>
      </c>
      <c r="I57" s="4">
        <v>22784.71</v>
      </c>
    </row>
    <row r="58" spans="2:9" hidden="1" x14ac:dyDescent="0.35">
      <c r="B58" s="2" t="s">
        <v>82</v>
      </c>
      <c r="C58" s="2" t="s">
        <v>16</v>
      </c>
      <c r="D58" s="2">
        <v>2489</v>
      </c>
      <c r="E58" s="2" t="s">
        <v>84</v>
      </c>
      <c r="F58" s="2"/>
      <c r="G58" s="2" t="s">
        <v>85</v>
      </c>
      <c r="H58" s="4">
        <v>-6393.33</v>
      </c>
      <c r="I58" s="4">
        <v>16391.38</v>
      </c>
    </row>
    <row r="59" spans="2:9" hidden="1" x14ac:dyDescent="0.35">
      <c r="B59" s="2" t="s">
        <v>86</v>
      </c>
      <c r="C59" s="2" t="s">
        <v>10</v>
      </c>
      <c r="D59" s="2"/>
      <c r="E59" s="2" t="s">
        <v>38</v>
      </c>
      <c r="F59" s="2"/>
      <c r="G59" s="2" t="s">
        <v>87</v>
      </c>
      <c r="H59" s="4">
        <v>400</v>
      </c>
      <c r="I59" s="4">
        <v>16791.38</v>
      </c>
    </row>
    <row r="60" spans="2:9" hidden="1" x14ac:dyDescent="0.35">
      <c r="B60" s="2" t="s">
        <v>86</v>
      </c>
      <c r="C60" s="2" t="s">
        <v>10</v>
      </c>
      <c r="D60" s="2"/>
      <c r="E60" s="2" t="s">
        <v>88</v>
      </c>
      <c r="F60" s="2"/>
      <c r="G60" s="2" t="s">
        <v>89</v>
      </c>
      <c r="H60" s="4">
        <v>50</v>
      </c>
      <c r="I60" s="4">
        <v>16841.38</v>
      </c>
    </row>
    <row r="61" spans="2:9" hidden="1" x14ac:dyDescent="0.35">
      <c r="B61" s="2" t="s">
        <v>86</v>
      </c>
      <c r="C61" s="2" t="s">
        <v>10</v>
      </c>
      <c r="D61" s="2"/>
      <c r="E61" s="2" t="s">
        <v>73</v>
      </c>
      <c r="F61" s="2"/>
      <c r="G61" s="2" t="s">
        <v>71</v>
      </c>
      <c r="H61" s="4">
        <v>51.18</v>
      </c>
      <c r="I61" s="4">
        <v>16892.560000000001</v>
      </c>
    </row>
    <row r="62" spans="2:9" hidden="1" x14ac:dyDescent="0.35">
      <c r="B62" s="2" t="s">
        <v>86</v>
      </c>
      <c r="C62" s="2" t="s">
        <v>10</v>
      </c>
      <c r="D62" s="2"/>
      <c r="E62" s="2"/>
      <c r="F62" s="2"/>
      <c r="G62" s="2" t="s">
        <v>90</v>
      </c>
      <c r="H62" s="4">
        <v>20</v>
      </c>
      <c r="I62" s="4">
        <v>16912.560000000001</v>
      </c>
    </row>
    <row r="63" spans="2:9" hidden="1" x14ac:dyDescent="0.35">
      <c r="B63" s="2" t="s">
        <v>91</v>
      </c>
      <c r="C63" s="2" t="s">
        <v>10</v>
      </c>
      <c r="D63" s="2"/>
      <c r="E63" s="2"/>
      <c r="F63" s="2"/>
      <c r="G63" s="3" t="s">
        <v>11</v>
      </c>
      <c r="H63" s="4">
        <v>2205</v>
      </c>
      <c r="I63" s="4">
        <v>19117.560000000001</v>
      </c>
    </row>
    <row r="64" spans="2:9" hidden="1" x14ac:dyDescent="0.35">
      <c r="B64" s="2" t="s">
        <v>91</v>
      </c>
      <c r="C64" s="2" t="s">
        <v>10</v>
      </c>
      <c r="D64" s="2"/>
      <c r="E64" s="2"/>
      <c r="F64" s="2"/>
      <c r="G64" s="3" t="s">
        <v>11</v>
      </c>
      <c r="H64" s="4">
        <v>1534.35</v>
      </c>
      <c r="I64" s="4">
        <v>20651.91</v>
      </c>
    </row>
    <row r="65" spans="2:9" hidden="1" x14ac:dyDescent="0.35">
      <c r="B65" s="2" t="s">
        <v>92</v>
      </c>
      <c r="C65" s="2" t="s">
        <v>16</v>
      </c>
      <c r="D65" s="2">
        <v>2490</v>
      </c>
      <c r="E65" s="2" t="s">
        <v>17</v>
      </c>
      <c r="F65" s="2"/>
      <c r="G65" s="2" t="s">
        <v>19</v>
      </c>
      <c r="H65" s="4">
        <v>-119.88</v>
      </c>
      <c r="I65" s="4">
        <v>20532.03</v>
      </c>
    </row>
    <row r="66" spans="2:9" hidden="1" x14ac:dyDescent="0.35">
      <c r="B66" s="2" t="s">
        <v>93</v>
      </c>
      <c r="C66" s="2" t="s">
        <v>16</v>
      </c>
      <c r="D66" s="2">
        <v>2492</v>
      </c>
      <c r="E66" s="2" t="s">
        <v>94</v>
      </c>
      <c r="F66" s="2"/>
      <c r="G66" s="2" t="s">
        <v>58</v>
      </c>
      <c r="H66" s="4">
        <v>-59.87</v>
      </c>
      <c r="I66" s="4">
        <v>20472.16</v>
      </c>
    </row>
    <row r="67" spans="2:9" hidden="1" x14ac:dyDescent="0.35">
      <c r="B67" s="2" t="s">
        <v>93</v>
      </c>
      <c r="C67" s="2" t="s">
        <v>16</v>
      </c>
      <c r="D67" s="2">
        <v>2491</v>
      </c>
      <c r="E67" s="2" t="s">
        <v>94</v>
      </c>
      <c r="F67" s="2"/>
      <c r="G67" s="2" t="s">
        <v>39</v>
      </c>
      <c r="H67" s="4">
        <v>-200</v>
      </c>
      <c r="I67" s="4">
        <v>20272.16</v>
      </c>
    </row>
    <row r="68" spans="2:9" hidden="1" x14ac:dyDescent="0.35">
      <c r="B68" s="2" t="s">
        <v>95</v>
      </c>
      <c r="C68" s="2" t="s">
        <v>10</v>
      </c>
      <c r="D68" s="2"/>
      <c r="E68" s="2" t="s">
        <v>96</v>
      </c>
      <c r="F68" s="2"/>
      <c r="G68" s="3" t="s">
        <v>11</v>
      </c>
      <c r="H68" s="4">
        <v>324.60000000000002</v>
      </c>
      <c r="I68" s="4">
        <v>20596.759999999998</v>
      </c>
    </row>
    <row r="69" spans="2:9" hidden="1" x14ac:dyDescent="0.35">
      <c r="B69" s="2" t="s">
        <v>95</v>
      </c>
      <c r="C69" s="2" t="s">
        <v>10</v>
      </c>
      <c r="D69" s="2"/>
      <c r="E69" s="2"/>
      <c r="F69" s="2"/>
      <c r="G69" s="3" t="s">
        <v>11</v>
      </c>
      <c r="H69" s="4">
        <v>225</v>
      </c>
      <c r="I69" s="4">
        <v>20821.759999999998</v>
      </c>
    </row>
    <row r="70" spans="2:9" hidden="1" x14ac:dyDescent="0.35">
      <c r="B70" s="2" t="s">
        <v>95</v>
      </c>
      <c r="C70" s="2" t="s">
        <v>16</v>
      </c>
      <c r="D70" s="2">
        <v>2495</v>
      </c>
      <c r="E70" s="2" t="s">
        <v>97</v>
      </c>
      <c r="F70" s="2"/>
      <c r="G70" s="2" t="s">
        <v>98</v>
      </c>
      <c r="H70" s="4">
        <v>-523</v>
      </c>
      <c r="I70" s="4">
        <v>20298.759999999998</v>
      </c>
    </row>
    <row r="71" spans="2:9" hidden="1" x14ac:dyDescent="0.35">
      <c r="B71" s="2" t="s">
        <v>95</v>
      </c>
      <c r="C71" s="2" t="s">
        <v>16</v>
      </c>
      <c r="D71" s="2">
        <v>2494</v>
      </c>
      <c r="E71" s="2" t="s">
        <v>41</v>
      </c>
      <c r="F71" s="2"/>
      <c r="G71" s="2" t="s">
        <v>39</v>
      </c>
      <c r="H71" s="4">
        <v>-600</v>
      </c>
      <c r="I71" s="4">
        <v>19698.759999999998</v>
      </c>
    </row>
    <row r="72" spans="2:9" hidden="1" x14ac:dyDescent="0.35">
      <c r="B72" s="2" t="s">
        <v>95</v>
      </c>
      <c r="C72" s="2" t="s">
        <v>16</v>
      </c>
      <c r="D72" s="2">
        <v>2493</v>
      </c>
      <c r="E72" s="2" t="s">
        <v>99</v>
      </c>
      <c r="F72" s="2"/>
      <c r="G72" s="2" t="s">
        <v>39</v>
      </c>
      <c r="H72" s="4">
        <v>-275</v>
      </c>
      <c r="I72" s="4">
        <v>19423.759999999998</v>
      </c>
    </row>
    <row r="73" spans="2:9" hidden="1" x14ac:dyDescent="0.35">
      <c r="B73" s="2" t="s">
        <v>100</v>
      </c>
      <c r="C73" s="2" t="s">
        <v>16</v>
      </c>
      <c r="D73" s="2">
        <v>2496</v>
      </c>
      <c r="E73" s="2" t="s">
        <v>101</v>
      </c>
      <c r="F73" s="2"/>
      <c r="G73" s="2" t="s">
        <v>24</v>
      </c>
      <c r="H73" s="4">
        <v>-150</v>
      </c>
      <c r="I73" s="4">
        <v>19273.759999999998</v>
      </c>
    </row>
    <row r="74" spans="2:9" hidden="1" x14ac:dyDescent="0.35">
      <c r="B74" s="2" t="s">
        <v>100</v>
      </c>
      <c r="C74" s="2" t="s">
        <v>10</v>
      </c>
      <c r="D74" s="2"/>
      <c r="E74" s="2" t="s">
        <v>94</v>
      </c>
      <c r="F74" s="2"/>
      <c r="G74" s="2" t="s">
        <v>87</v>
      </c>
      <c r="H74" s="4">
        <v>200</v>
      </c>
      <c r="I74" s="4">
        <v>19473.759999999998</v>
      </c>
    </row>
    <row r="75" spans="2:9" hidden="1" x14ac:dyDescent="0.35">
      <c r="B75" s="2" t="s">
        <v>100</v>
      </c>
      <c r="C75" s="2" t="s">
        <v>10</v>
      </c>
      <c r="D75" s="2"/>
      <c r="E75" s="2" t="s">
        <v>94</v>
      </c>
      <c r="F75" s="2"/>
      <c r="G75" s="2" t="s">
        <v>102</v>
      </c>
      <c r="H75" s="4">
        <v>1327</v>
      </c>
      <c r="I75" s="4">
        <v>20800.759999999998</v>
      </c>
    </row>
    <row r="76" spans="2:9" hidden="1" x14ac:dyDescent="0.35">
      <c r="B76" s="2" t="s">
        <v>100</v>
      </c>
      <c r="C76" s="2" t="s">
        <v>10</v>
      </c>
      <c r="D76" s="2"/>
      <c r="E76" s="2" t="s">
        <v>103</v>
      </c>
      <c r="F76" s="2"/>
      <c r="G76" s="2" t="s">
        <v>104</v>
      </c>
      <c r="H76" s="4">
        <v>487.08</v>
      </c>
      <c r="I76" s="4">
        <v>21287.84</v>
      </c>
    </row>
    <row r="77" spans="2:9" hidden="1" x14ac:dyDescent="0.35">
      <c r="B77" s="2" t="s">
        <v>100</v>
      </c>
      <c r="C77" s="2" t="s">
        <v>10</v>
      </c>
      <c r="D77" s="2"/>
      <c r="E77" s="2" t="s">
        <v>105</v>
      </c>
      <c r="F77" s="2"/>
      <c r="G77" s="2" t="s">
        <v>106</v>
      </c>
      <c r="H77" s="4">
        <v>727</v>
      </c>
      <c r="I77" s="4">
        <v>22014.84</v>
      </c>
    </row>
    <row r="78" spans="2:9" hidden="1" x14ac:dyDescent="0.35">
      <c r="B78" s="2" t="s">
        <v>100</v>
      </c>
      <c r="C78" s="2" t="s">
        <v>16</v>
      </c>
      <c r="D78" s="2">
        <v>2497</v>
      </c>
      <c r="E78" s="2" t="s">
        <v>107</v>
      </c>
      <c r="F78" s="2"/>
      <c r="G78" s="2" t="s">
        <v>108</v>
      </c>
      <c r="H78" s="4">
        <v>-150</v>
      </c>
      <c r="I78" s="4">
        <v>21864.84</v>
      </c>
    </row>
    <row r="79" spans="2:9" hidden="1" x14ac:dyDescent="0.35">
      <c r="B79" s="2" t="s">
        <v>100</v>
      </c>
      <c r="C79" s="2" t="s">
        <v>16</v>
      </c>
      <c r="D79" s="2">
        <v>2498</v>
      </c>
      <c r="E79" s="2" t="s">
        <v>105</v>
      </c>
      <c r="F79" s="2"/>
      <c r="G79" s="2" t="s">
        <v>109</v>
      </c>
      <c r="H79" s="4">
        <v>-1036</v>
      </c>
      <c r="I79" s="4">
        <v>20828.84</v>
      </c>
    </row>
    <row r="80" spans="2:9" hidden="1" x14ac:dyDescent="0.35">
      <c r="B80" s="2" t="s">
        <v>110</v>
      </c>
      <c r="C80" s="2" t="s">
        <v>10</v>
      </c>
      <c r="D80" s="2"/>
      <c r="E80" s="2"/>
      <c r="F80" s="2"/>
      <c r="G80" s="3" t="s">
        <v>11</v>
      </c>
      <c r="H80" s="4">
        <v>903.31</v>
      </c>
      <c r="I80" s="4">
        <v>21732.15</v>
      </c>
    </row>
    <row r="81" spans="2:9" hidden="1" x14ac:dyDescent="0.35">
      <c r="B81" s="2" t="s">
        <v>111</v>
      </c>
      <c r="C81" s="2" t="s">
        <v>10</v>
      </c>
      <c r="D81" s="2"/>
      <c r="E81" s="2"/>
      <c r="F81" s="2"/>
      <c r="G81" s="3" t="s">
        <v>11</v>
      </c>
      <c r="H81" s="4">
        <v>235</v>
      </c>
      <c r="I81" s="4">
        <v>21967.15</v>
      </c>
    </row>
    <row r="82" spans="2:9" hidden="1" x14ac:dyDescent="0.35">
      <c r="B82" s="2" t="s">
        <v>111</v>
      </c>
      <c r="C82" s="2" t="s">
        <v>10</v>
      </c>
      <c r="D82" s="2"/>
      <c r="E82" s="2"/>
      <c r="F82" s="2"/>
      <c r="G82" s="2" t="s">
        <v>112</v>
      </c>
      <c r="H82" s="4">
        <v>3000</v>
      </c>
      <c r="I82" s="4">
        <v>24967.15</v>
      </c>
    </row>
    <row r="83" spans="2:9" hidden="1" x14ac:dyDescent="0.35">
      <c r="B83" s="2" t="s">
        <v>111</v>
      </c>
      <c r="C83" s="2" t="s">
        <v>16</v>
      </c>
      <c r="D83" s="2">
        <v>2500</v>
      </c>
      <c r="E83" s="2" t="s">
        <v>57</v>
      </c>
      <c r="F83" s="2"/>
      <c r="G83" s="2" t="s">
        <v>113</v>
      </c>
      <c r="H83" s="4">
        <v>-381.7</v>
      </c>
      <c r="I83" s="4">
        <v>24585.45</v>
      </c>
    </row>
    <row r="84" spans="2:9" hidden="1" x14ac:dyDescent="0.35">
      <c r="B84" s="2" t="s">
        <v>111</v>
      </c>
      <c r="C84" s="2" t="s">
        <v>16</v>
      </c>
      <c r="D84" s="2">
        <v>2499</v>
      </c>
      <c r="E84" s="2" t="s">
        <v>76</v>
      </c>
      <c r="F84" s="2"/>
      <c r="G84" s="2" t="s">
        <v>18</v>
      </c>
      <c r="H84" s="4">
        <v>-239.35</v>
      </c>
      <c r="I84" s="4">
        <v>24346.1</v>
      </c>
    </row>
    <row r="85" spans="2:9" hidden="1" x14ac:dyDescent="0.35">
      <c r="B85" s="2" t="s">
        <v>114</v>
      </c>
      <c r="C85" s="2" t="s">
        <v>16</v>
      </c>
      <c r="D85" s="2">
        <v>2501</v>
      </c>
      <c r="E85" s="2" t="s">
        <v>51</v>
      </c>
      <c r="F85" s="2"/>
      <c r="G85" s="2" t="s">
        <v>48</v>
      </c>
      <c r="H85" s="4">
        <v>-692.75</v>
      </c>
      <c r="I85" s="4">
        <v>23653.35</v>
      </c>
    </row>
    <row r="86" spans="2:9" hidden="1" x14ac:dyDescent="0.35">
      <c r="B86" s="2" t="s">
        <v>114</v>
      </c>
      <c r="C86" s="2" t="s">
        <v>16</v>
      </c>
      <c r="D86" s="2">
        <v>2502</v>
      </c>
      <c r="E86" s="2" t="s">
        <v>46</v>
      </c>
      <c r="F86" s="2"/>
      <c r="G86" s="2" t="s">
        <v>48</v>
      </c>
      <c r="H86" s="4">
        <v>-163</v>
      </c>
      <c r="I86" s="4">
        <v>23490.35</v>
      </c>
    </row>
    <row r="87" spans="2:9" hidden="1" x14ac:dyDescent="0.35">
      <c r="B87" s="2" t="s">
        <v>115</v>
      </c>
      <c r="C87" s="2" t="s">
        <v>16</v>
      </c>
      <c r="D87" s="2">
        <v>2503</v>
      </c>
      <c r="E87" s="2" t="s">
        <v>116</v>
      </c>
      <c r="F87" s="2"/>
      <c r="G87" s="2" t="s">
        <v>117</v>
      </c>
      <c r="H87" s="4">
        <v>-2250</v>
      </c>
      <c r="I87" s="4">
        <v>21240.35</v>
      </c>
    </row>
    <row r="88" spans="2:9" hidden="1" x14ac:dyDescent="0.35">
      <c r="B88" s="2" t="s">
        <v>118</v>
      </c>
      <c r="C88" s="2" t="s">
        <v>16</v>
      </c>
      <c r="D88" s="2">
        <v>2504</v>
      </c>
      <c r="E88" s="2" t="s">
        <v>66</v>
      </c>
      <c r="F88" s="2"/>
      <c r="G88" s="2" t="s">
        <v>67</v>
      </c>
      <c r="H88" s="4">
        <v>-148.41</v>
      </c>
      <c r="I88" s="4">
        <v>21091.94</v>
      </c>
    </row>
    <row r="89" spans="2:9" hidden="1" x14ac:dyDescent="0.35">
      <c r="B89" s="2" t="s">
        <v>119</v>
      </c>
      <c r="C89" s="2" t="s">
        <v>10</v>
      </c>
      <c r="D89" s="2"/>
      <c r="E89" s="2"/>
      <c r="F89" s="2"/>
      <c r="G89" s="3" t="s">
        <v>11</v>
      </c>
      <c r="H89" s="4">
        <v>50.02</v>
      </c>
      <c r="I89" s="4">
        <v>21141.96</v>
      </c>
    </row>
    <row r="90" spans="2:9" hidden="1" x14ac:dyDescent="0.35">
      <c r="B90" s="2" t="s">
        <v>120</v>
      </c>
      <c r="C90" s="2" t="s">
        <v>10</v>
      </c>
      <c r="D90" s="2"/>
      <c r="E90" s="2" t="s">
        <v>121</v>
      </c>
      <c r="F90" s="2"/>
      <c r="G90" s="2" t="s">
        <v>104</v>
      </c>
      <c r="H90" s="4">
        <v>117.2</v>
      </c>
      <c r="I90" s="4">
        <v>21259.16</v>
      </c>
    </row>
    <row r="91" spans="2:9" hidden="1" x14ac:dyDescent="0.35">
      <c r="B91" s="2" t="s">
        <v>120</v>
      </c>
      <c r="C91" s="2" t="s">
        <v>16</v>
      </c>
      <c r="D91" s="2">
        <v>2505</v>
      </c>
      <c r="E91" s="2" t="s">
        <v>122</v>
      </c>
      <c r="F91" s="2"/>
      <c r="G91" s="2" t="s">
        <v>39</v>
      </c>
      <c r="H91" s="4">
        <v>-45.12</v>
      </c>
      <c r="I91" s="4">
        <v>21214.04</v>
      </c>
    </row>
    <row r="92" spans="2:9" hidden="1" x14ac:dyDescent="0.35">
      <c r="B92" s="2" t="s">
        <v>120</v>
      </c>
      <c r="C92" s="2" t="s">
        <v>16</v>
      </c>
      <c r="D92" s="2">
        <v>2507</v>
      </c>
      <c r="E92" s="2" t="s">
        <v>123</v>
      </c>
      <c r="F92" s="2"/>
      <c r="G92" s="2" t="s">
        <v>113</v>
      </c>
      <c r="H92" s="4">
        <v>0</v>
      </c>
      <c r="I92" s="4">
        <v>21214.04</v>
      </c>
    </row>
    <row r="93" spans="2:9" hidden="1" x14ac:dyDescent="0.35">
      <c r="B93" s="2" t="s">
        <v>120</v>
      </c>
      <c r="C93" s="2" t="s">
        <v>16</v>
      </c>
      <c r="D93" s="2">
        <v>2506</v>
      </c>
      <c r="E93" s="2" t="s">
        <v>124</v>
      </c>
      <c r="F93" s="2"/>
      <c r="G93" s="2" t="s">
        <v>24</v>
      </c>
      <c r="H93" s="4">
        <v>-150</v>
      </c>
      <c r="I93" s="4">
        <v>21064.04</v>
      </c>
    </row>
    <row r="94" spans="2:9" hidden="1" x14ac:dyDescent="0.35">
      <c r="B94" s="2" t="s">
        <v>120</v>
      </c>
      <c r="C94" s="2" t="s">
        <v>16</v>
      </c>
      <c r="D94" s="2">
        <v>2508</v>
      </c>
      <c r="E94" s="2" t="s">
        <v>123</v>
      </c>
      <c r="F94" s="2"/>
      <c r="G94" s="2" t="s">
        <v>113</v>
      </c>
      <c r="H94" s="4">
        <v>-50</v>
      </c>
      <c r="I94" s="4">
        <v>21014.04</v>
      </c>
    </row>
    <row r="95" spans="2:9" hidden="1" x14ac:dyDescent="0.35">
      <c r="B95" s="2" t="s">
        <v>125</v>
      </c>
      <c r="C95" s="2" t="s">
        <v>16</v>
      </c>
      <c r="D95" s="2">
        <v>2509</v>
      </c>
      <c r="E95" s="2" t="s">
        <v>94</v>
      </c>
      <c r="F95" s="2"/>
      <c r="G95" s="2" t="s">
        <v>39</v>
      </c>
      <c r="H95" s="4">
        <v>-200</v>
      </c>
      <c r="I95" s="4">
        <v>20814.04</v>
      </c>
    </row>
    <row r="96" spans="2:9" hidden="1" x14ac:dyDescent="0.35">
      <c r="B96" s="2" t="s">
        <v>125</v>
      </c>
      <c r="C96" s="2" t="s">
        <v>16</v>
      </c>
      <c r="D96" s="2">
        <v>2510</v>
      </c>
      <c r="E96" s="2" t="s">
        <v>41</v>
      </c>
      <c r="F96" s="2"/>
      <c r="G96" s="2" t="s">
        <v>39</v>
      </c>
      <c r="H96" s="4">
        <v>-600</v>
      </c>
      <c r="I96" s="4">
        <v>20214.04</v>
      </c>
    </row>
    <row r="97" spans="2:9" hidden="1" x14ac:dyDescent="0.35">
      <c r="B97" s="2" t="s">
        <v>125</v>
      </c>
      <c r="C97" s="2" t="s">
        <v>10</v>
      </c>
      <c r="D97" s="2"/>
      <c r="E97" s="2"/>
      <c r="F97" s="2"/>
      <c r="G97" s="3" t="s">
        <v>11</v>
      </c>
      <c r="H97" s="4">
        <v>40</v>
      </c>
      <c r="I97" s="4">
        <v>20254.04</v>
      </c>
    </row>
    <row r="98" spans="2:9" hidden="1" x14ac:dyDescent="0.35">
      <c r="B98" s="2" t="s">
        <v>125</v>
      </c>
      <c r="C98" s="2" t="s">
        <v>16</v>
      </c>
      <c r="D98" s="2">
        <v>2511</v>
      </c>
      <c r="E98" s="2" t="s">
        <v>126</v>
      </c>
      <c r="F98" s="2"/>
      <c r="G98" s="2" t="s">
        <v>39</v>
      </c>
      <c r="H98" s="4">
        <v>-425</v>
      </c>
      <c r="I98" s="4">
        <v>19829.04</v>
      </c>
    </row>
    <row r="99" spans="2:9" hidden="1" x14ac:dyDescent="0.35">
      <c r="B99" s="2" t="s">
        <v>127</v>
      </c>
      <c r="C99" s="2" t="s">
        <v>10</v>
      </c>
      <c r="D99" s="2"/>
      <c r="E99" s="2" t="s">
        <v>57</v>
      </c>
      <c r="F99" s="2"/>
      <c r="G99" s="2" t="s">
        <v>102</v>
      </c>
      <c r="H99" s="4">
        <v>1220</v>
      </c>
      <c r="I99" s="4">
        <v>21049.040000000001</v>
      </c>
    </row>
    <row r="100" spans="2:9" hidden="1" x14ac:dyDescent="0.35">
      <c r="B100" s="2" t="s">
        <v>127</v>
      </c>
      <c r="C100" s="2" t="s">
        <v>10</v>
      </c>
      <c r="D100" s="2"/>
      <c r="E100" s="2"/>
      <c r="F100" s="2"/>
      <c r="G100" s="3" t="s">
        <v>11</v>
      </c>
      <c r="H100" s="4">
        <v>48.62</v>
      </c>
      <c r="I100" s="4">
        <v>21097.66</v>
      </c>
    </row>
    <row r="101" spans="2:9" hidden="1" x14ac:dyDescent="0.35">
      <c r="B101" s="2" t="s">
        <v>127</v>
      </c>
      <c r="C101" s="2" t="s">
        <v>10</v>
      </c>
      <c r="D101" s="2"/>
      <c r="E101" s="2" t="s">
        <v>57</v>
      </c>
      <c r="F101" s="2"/>
      <c r="G101" s="2" t="s">
        <v>87</v>
      </c>
      <c r="H101" s="4">
        <v>200</v>
      </c>
      <c r="I101" s="4">
        <v>21297.66</v>
      </c>
    </row>
    <row r="102" spans="2:9" hidden="1" x14ac:dyDescent="0.35">
      <c r="B102" s="2" t="s">
        <v>128</v>
      </c>
      <c r="C102" s="2" t="s">
        <v>10</v>
      </c>
      <c r="D102" s="2"/>
      <c r="E102" s="2"/>
      <c r="F102" s="2"/>
      <c r="G102" s="3" t="s">
        <v>11</v>
      </c>
      <c r="H102" s="4">
        <v>133.44</v>
      </c>
      <c r="I102" s="4">
        <v>21431.1</v>
      </c>
    </row>
    <row r="103" spans="2:9" hidden="1" x14ac:dyDescent="0.35">
      <c r="B103" s="2" t="s">
        <v>129</v>
      </c>
      <c r="C103" s="2" t="s">
        <v>10</v>
      </c>
      <c r="D103" s="2"/>
      <c r="E103" s="2"/>
      <c r="F103" s="2"/>
      <c r="G103" s="3" t="s">
        <v>11</v>
      </c>
      <c r="H103" s="4">
        <v>115</v>
      </c>
      <c r="I103" s="4">
        <v>21546.1</v>
      </c>
    </row>
    <row r="104" spans="2:9" hidden="1" x14ac:dyDescent="0.35">
      <c r="B104" s="2" t="s">
        <v>130</v>
      </c>
      <c r="C104" s="2" t="s">
        <v>16</v>
      </c>
      <c r="D104" s="2">
        <v>2513</v>
      </c>
      <c r="E104" s="2" t="s">
        <v>131</v>
      </c>
      <c r="F104" s="2"/>
      <c r="G104" s="2" t="s">
        <v>132</v>
      </c>
      <c r="H104" s="4">
        <v>-521.6</v>
      </c>
      <c r="I104" s="4">
        <v>21024.5</v>
      </c>
    </row>
    <row r="105" spans="2:9" hidden="1" x14ac:dyDescent="0.35">
      <c r="B105" s="2" t="s">
        <v>130</v>
      </c>
      <c r="C105" s="2" t="s">
        <v>16</v>
      </c>
      <c r="D105" s="2">
        <v>2512</v>
      </c>
      <c r="E105" s="2" t="s">
        <v>30</v>
      </c>
      <c r="F105" s="2"/>
      <c r="G105" s="2" t="s">
        <v>24</v>
      </c>
      <c r="H105" s="4">
        <v>-48.24</v>
      </c>
      <c r="I105" s="4">
        <v>20976.26</v>
      </c>
    </row>
    <row r="106" spans="2:9" hidden="1" x14ac:dyDescent="0.35">
      <c r="B106" s="2" t="s">
        <v>133</v>
      </c>
      <c r="C106" s="2" t="s">
        <v>16</v>
      </c>
      <c r="D106" s="2">
        <v>2514</v>
      </c>
      <c r="E106" s="2" t="s">
        <v>134</v>
      </c>
      <c r="F106" s="2"/>
      <c r="G106" s="2" t="s">
        <v>24</v>
      </c>
      <c r="H106" s="4">
        <v>-149.74</v>
      </c>
      <c r="I106" s="4">
        <v>20826.52</v>
      </c>
    </row>
    <row r="107" spans="2:9" hidden="1" x14ac:dyDescent="0.35">
      <c r="B107" s="2" t="s">
        <v>135</v>
      </c>
      <c r="C107" s="2" t="s">
        <v>16</v>
      </c>
      <c r="D107" s="2">
        <v>2515</v>
      </c>
      <c r="E107" s="2" t="s">
        <v>60</v>
      </c>
      <c r="F107" s="2"/>
      <c r="G107" s="3" t="s">
        <v>11</v>
      </c>
      <c r="H107" s="4">
        <v>-1031.73</v>
      </c>
      <c r="I107" s="4">
        <v>19794.79</v>
      </c>
    </row>
    <row r="108" spans="2:9" hidden="1" x14ac:dyDescent="0.35">
      <c r="B108" s="2" t="s">
        <v>135</v>
      </c>
      <c r="C108" s="2" t="s">
        <v>16</v>
      </c>
      <c r="D108" s="2">
        <v>2516</v>
      </c>
      <c r="E108" s="2" t="s">
        <v>136</v>
      </c>
      <c r="F108" s="2"/>
      <c r="G108" s="2" t="s">
        <v>24</v>
      </c>
      <c r="H108" s="4">
        <v>-150</v>
      </c>
      <c r="I108" s="4">
        <v>19644.79</v>
      </c>
    </row>
    <row r="109" spans="2:9" hidden="1" x14ac:dyDescent="0.35">
      <c r="B109" s="2" t="s">
        <v>137</v>
      </c>
      <c r="C109" s="2" t="s">
        <v>10</v>
      </c>
      <c r="D109" s="2"/>
      <c r="E109" s="2" t="s">
        <v>116</v>
      </c>
      <c r="F109" s="2"/>
      <c r="G109" s="2" t="s">
        <v>138</v>
      </c>
      <c r="H109" s="4">
        <v>566.55999999999995</v>
      </c>
      <c r="I109" s="4">
        <v>20211.349999999999</v>
      </c>
    </row>
    <row r="110" spans="2:9" hidden="1" x14ac:dyDescent="0.35">
      <c r="B110" s="2" t="s">
        <v>139</v>
      </c>
      <c r="C110" s="2" t="s">
        <v>16</v>
      </c>
      <c r="D110" s="2">
        <v>2518</v>
      </c>
      <c r="E110" s="2" t="s">
        <v>94</v>
      </c>
      <c r="F110" s="2" t="s">
        <v>140</v>
      </c>
      <c r="G110" s="2" t="s">
        <v>39</v>
      </c>
      <c r="H110" s="4">
        <v>0</v>
      </c>
      <c r="I110" s="4">
        <v>20211.349999999999</v>
      </c>
    </row>
    <row r="111" spans="2:9" hidden="1" x14ac:dyDescent="0.35">
      <c r="B111" s="2" t="s">
        <v>139</v>
      </c>
      <c r="C111" s="2" t="s">
        <v>16</v>
      </c>
      <c r="D111" s="2">
        <v>2517</v>
      </c>
      <c r="E111" s="2" t="s">
        <v>141</v>
      </c>
      <c r="F111" s="2"/>
      <c r="G111" s="2" t="s">
        <v>24</v>
      </c>
      <c r="H111" s="4">
        <v>-300</v>
      </c>
      <c r="I111" s="4">
        <v>19911.349999999999</v>
      </c>
    </row>
    <row r="112" spans="2:9" hidden="1" x14ac:dyDescent="0.35">
      <c r="B112" s="2" t="s">
        <v>142</v>
      </c>
      <c r="C112" s="2" t="s">
        <v>10</v>
      </c>
      <c r="D112" s="2"/>
      <c r="E112" s="2" t="s">
        <v>143</v>
      </c>
      <c r="F112" s="2"/>
      <c r="G112" s="2" t="s">
        <v>144</v>
      </c>
      <c r="H112" s="4">
        <v>66</v>
      </c>
      <c r="I112" s="4">
        <v>19977.349999999999</v>
      </c>
    </row>
    <row r="113" spans="2:9" hidden="1" x14ac:dyDescent="0.35">
      <c r="B113" s="2" t="s">
        <v>145</v>
      </c>
      <c r="C113" s="2" t="s">
        <v>16</v>
      </c>
      <c r="D113" s="2">
        <v>2519</v>
      </c>
      <c r="E113" s="2" t="s">
        <v>99</v>
      </c>
      <c r="F113" s="2"/>
      <c r="G113" s="2" t="s">
        <v>39</v>
      </c>
      <c r="H113" s="4">
        <v>-325</v>
      </c>
      <c r="I113" s="4">
        <v>19652.349999999999</v>
      </c>
    </row>
    <row r="114" spans="2:9" hidden="1" x14ac:dyDescent="0.35">
      <c r="B114" s="2" t="s">
        <v>145</v>
      </c>
      <c r="C114" s="2" t="s">
        <v>16</v>
      </c>
      <c r="D114" s="2">
        <v>2520</v>
      </c>
      <c r="E114" s="2" t="s">
        <v>41</v>
      </c>
      <c r="F114" s="2"/>
      <c r="G114" s="2" t="s">
        <v>39</v>
      </c>
      <c r="H114" s="4">
        <v>-600</v>
      </c>
      <c r="I114" s="4">
        <v>19052.349999999999</v>
      </c>
    </row>
    <row r="115" spans="2:9" hidden="1" x14ac:dyDescent="0.35">
      <c r="B115" s="2" t="s">
        <v>146</v>
      </c>
      <c r="C115" s="2" t="s">
        <v>10</v>
      </c>
      <c r="D115" s="2"/>
      <c r="E115" s="2"/>
      <c r="F115" s="2"/>
      <c r="G115" s="3" t="s">
        <v>11</v>
      </c>
      <c r="H115" s="4">
        <v>43.76</v>
      </c>
      <c r="I115" s="4">
        <v>19096.11</v>
      </c>
    </row>
    <row r="116" spans="2:9" hidden="1" x14ac:dyDescent="0.35">
      <c r="B116" s="2" t="s">
        <v>147</v>
      </c>
      <c r="C116" s="2" t="s">
        <v>10</v>
      </c>
      <c r="D116" s="2"/>
      <c r="E116" s="2" t="s">
        <v>60</v>
      </c>
      <c r="F116" s="2"/>
      <c r="G116" s="3" t="s">
        <v>11</v>
      </c>
      <c r="H116" s="4">
        <v>1317</v>
      </c>
      <c r="I116" s="4">
        <v>20413.11</v>
      </c>
    </row>
    <row r="117" spans="2:9" hidden="1" x14ac:dyDescent="0.35">
      <c r="B117" s="2" t="s">
        <v>148</v>
      </c>
      <c r="C117" s="2" t="s">
        <v>16</v>
      </c>
      <c r="D117" s="2">
        <v>2521</v>
      </c>
      <c r="E117" s="2" t="s">
        <v>149</v>
      </c>
      <c r="F117" s="2"/>
      <c r="G117" s="2" t="s">
        <v>150</v>
      </c>
      <c r="H117" s="4">
        <v>-528</v>
      </c>
      <c r="I117" s="4">
        <v>19885.11</v>
      </c>
    </row>
    <row r="118" spans="2:9" hidden="1" x14ac:dyDescent="0.35">
      <c r="B118" s="2" t="s">
        <v>151</v>
      </c>
      <c r="C118" s="2" t="s">
        <v>10</v>
      </c>
      <c r="D118" s="2"/>
      <c r="E118" s="2" t="s">
        <v>13</v>
      </c>
      <c r="F118" s="2"/>
      <c r="G118" s="2" t="s">
        <v>152</v>
      </c>
      <c r="H118" s="4">
        <v>29.75</v>
      </c>
      <c r="I118" s="4">
        <v>19914.86</v>
      </c>
    </row>
    <row r="119" spans="2:9" hidden="1" x14ac:dyDescent="0.35">
      <c r="B119" s="2" t="s">
        <v>153</v>
      </c>
      <c r="C119" s="2" t="s">
        <v>16</v>
      </c>
      <c r="D119" s="2">
        <v>2522</v>
      </c>
      <c r="E119" s="2" t="s">
        <v>143</v>
      </c>
      <c r="F119" s="2"/>
      <c r="G119" s="2" t="s">
        <v>144</v>
      </c>
      <c r="H119" s="4">
        <v>-300.36</v>
      </c>
      <c r="I119" s="4">
        <v>19614.5</v>
      </c>
    </row>
    <row r="120" spans="2:9" hidden="1" x14ac:dyDescent="0.35">
      <c r="B120" s="2" t="s">
        <v>154</v>
      </c>
      <c r="C120" s="2" t="s">
        <v>10</v>
      </c>
      <c r="D120" s="2"/>
      <c r="E120" s="2"/>
      <c r="F120" s="2"/>
      <c r="G120" s="3" t="s">
        <v>11</v>
      </c>
      <c r="H120" s="4">
        <v>194.4</v>
      </c>
      <c r="I120" s="4">
        <v>19808.900000000001</v>
      </c>
    </row>
    <row r="121" spans="2:9" hidden="1" x14ac:dyDescent="0.35">
      <c r="B121" s="2" t="s">
        <v>155</v>
      </c>
      <c r="C121" s="2" t="s">
        <v>16</v>
      </c>
      <c r="D121" s="2">
        <v>2523</v>
      </c>
      <c r="E121" s="2" t="s">
        <v>156</v>
      </c>
      <c r="F121" s="2"/>
      <c r="G121" s="2" t="s">
        <v>157</v>
      </c>
      <c r="H121" s="4">
        <v>-50</v>
      </c>
      <c r="I121" s="4">
        <v>19758.900000000001</v>
      </c>
    </row>
    <row r="122" spans="2:9" hidden="1" x14ac:dyDescent="0.35">
      <c r="B122" s="2" t="s">
        <v>158</v>
      </c>
      <c r="C122" s="2" t="s">
        <v>16</v>
      </c>
      <c r="D122" s="2">
        <v>2524</v>
      </c>
      <c r="E122" s="2" t="s">
        <v>17</v>
      </c>
      <c r="F122" s="2"/>
      <c r="G122" s="2" t="s">
        <v>19</v>
      </c>
      <c r="H122" s="4">
        <v>-62.32</v>
      </c>
      <c r="I122" s="4">
        <v>19696.580000000002</v>
      </c>
    </row>
    <row r="123" spans="2:9" hidden="1" x14ac:dyDescent="0.35">
      <c r="B123" s="2" t="s">
        <v>158</v>
      </c>
      <c r="C123" s="2" t="s">
        <v>16</v>
      </c>
      <c r="D123" s="2">
        <v>2525</v>
      </c>
      <c r="E123" s="2" t="s">
        <v>159</v>
      </c>
      <c r="F123" s="2"/>
      <c r="G123" s="2" t="s">
        <v>24</v>
      </c>
      <c r="H123" s="4">
        <v>-150</v>
      </c>
      <c r="I123" s="4">
        <v>19546.580000000002</v>
      </c>
    </row>
    <row r="124" spans="2:9" hidden="1" x14ac:dyDescent="0.35">
      <c r="B124" s="2" t="s">
        <v>160</v>
      </c>
      <c r="C124" s="2" t="s">
        <v>16</v>
      </c>
      <c r="D124" s="2">
        <v>2526</v>
      </c>
      <c r="E124" s="2" t="s">
        <v>161</v>
      </c>
      <c r="F124" s="2"/>
      <c r="G124" s="2" t="s">
        <v>162</v>
      </c>
      <c r="H124" s="4">
        <v>-1533.12</v>
      </c>
      <c r="I124" s="4">
        <v>18013.46</v>
      </c>
    </row>
    <row r="125" spans="2:9" hidden="1" x14ac:dyDescent="0.35">
      <c r="B125" s="2" t="s">
        <v>160</v>
      </c>
      <c r="C125" s="2" t="s">
        <v>10</v>
      </c>
      <c r="D125" s="2"/>
      <c r="E125" s="2" t="s">
        <v>163</v>
      </c>
      <c r="F125" s="2"/>
      <c r="G125" s="2" t="s">
        <v>104</v>
      </c>
      <c r="H125" s="4">
        <v>50</v>
      </c>
      <c r="I125" s="4">
        <v>18063.46</v>
      </c>
    </row>
    <row r="126" spans="2:9" hidden="1" x14ac:dyDescent="0.35">
      <c r="B126" s="2" t="s">
        <v>160</v>
      </c>
      <c r="C126" s="2" t="s">
        <v>16</v>
      </c>
      <c r="D126" s="2">
        <v>2527</v>
      </c>
      <c r="E126" s="2" t="s">
        <v>33</v>
      </c>
      <c r="F126" s="2"/>
      <c r="G126" s="2" t="s">
        <v>24</v>
      </c>
      <c r="H126" s="4">
        <v>-48</v>
      </c>
      <c r="I126" s="4">
        <v>18015.46</v>
      </c>
    </row>
    <row r="127" spans="2:9" hidden="1" x14ac:dyDescent="0.35">
      <c r="B127" s="2" t="s">
        <v>164</v>
      </c>
      <c r="C127" s="2" t="s">
        <v>16</v>
      </c>
      <c r="D127" s="2">
        <v>2528</v>
      </c>
      <c r="E127" s="2" t="s">
        <v>165</v>
      </c>
      <c r="F127" s="2"/>
      <c r="G127" s="2" t="s">
        <v>166</v>
      </c>
      <c r="H127" s="4">
        <v>-335</v>
      </c>
      <c r="I127" s="4">
        <v>17680.46</v>
      </c>
    </row>
    <row r="128" spans="2:9" hidden="1" x14ac:dyDescent="0.35">
      <c r="B128" s="2" t="s">
        <v>164</v>
      </c>
      <c r="C128" s="2" t="s">
        <v>16</v>
      </c>
      <c r="D128" s="2">
        <v>2529</v>
      </c>
      <c r="E128" s="2" t="s">
        <v>161</v>
      </c>
      <c r="F128" s="2"/>
      <c r="G128" s="2" t="s">
        <v>162</v>
      </c>
      <c r="H128" s="4">
        <v>-5.63</v>
      </c>
      <c r="I128" s="4">
        <v>17674.830000000002</v>
      </c>
    </row>
    <row r="129" spans="2:9" hidden="1" x14ac:dyDescent="0.35">
      <c r="B129" s="2" t="s">
        <v>167</v>
      </c>
      <c r="C129" s="2" t="s">
        <v>16</v>
      </c>
      <c r="D129" s="2">
        <v>2531</v>
      </c>
      <c r="E129" s="2" t="s">
        <v>80</v>
      </c>
      <c r="F129" s="2"/>
      <c r="G129" s="2" t="s">
        <v>24</v>
      </c>
      <c r="H129" s="4">
        <v>-104.79</v>
      </c>
      <c r="I129" s="4">
        <v>17570.04</v>
      </c>
    </row>
    <row r="130" spans="2:9" hidden="1" x14ac:dyDescent="0.35">
      <c r="B130" s="2" t="s">
        <v>167</v>
      </c>
      <c r="C130" s="2" t="s">
        <v>16</v>
      </c>
      <c r="D130" s="2">
        <v>2530</v>
      </c>
      <c r="E130" s="2" t="s">
        <v>94</v>
      </c>
      <c r="F130" s="2"/>
      <c r="G130" s="2" t="s">
        <v>157</v>
      </c>
      <c r="H130" s="4">
        <v>-200</v>
      </c>
      <c r="I130" s="4">
        <v>17370.04</v>
      </c>
    </row>
    <row r="131" spans="2:9" hidden="1" x14ac:dyDescent="0.35">
      <c r="B131" s="2" t="s">
        <v>168</v>
      </c>
      <c r="C131" s="2" t="s">
        <v>16</v>
      </c>
      <c r="D131" s="2">
        <v>2532</v>
      </c>
      <c r="E131" s="2" t="s">
        <v>57</v>
      </c>
      <c r="F131" s="2"/>
      <c r="G131" s="2" t="s">
        <v>58</v>
      </c>
      <c r="H131" s="4">
        <v>-109.26</v>
      </c>
      <c r="I131" s="4">
        <v>17260.78</v>
      </c>
    </row>
    <row r="132" spans="2:9" hidden="1" x14ac:dyDescent="0.35">
      <c r="B132" s="2" t="s">
        <v>168</v>
      </c>
      <c r="C132" s="2" t="s">
        <v>10</v>
      </c>
      <c r="D132" s="2"/>
      <c r="E132" s="2"/>
      <c r="F132" s="2"/>
      <c r="G132" s="2" t="s">
        <v>169</v>
      </c>
      <c r="H132" s="4">
        <v>238.23</v>
      </c>
      <c r="I132" s="4">
        <v>17499.009999999998</v>
      </c>
    </row>
    <row r="133" spans="2:9" hidden="1" x14ac:dyDescent="0.35">
      <c r="B133" s="2" t="s">
        <v>168</v>
      </c>
      <c r="C133" s="2" t="s">
        <v>10</v>
      </c>
      <c r="D133" s="2"/>
      <c r="E133" s="2" t="s">
        <v>60</v>
      </c>
      <c r="F133" s="2"/>
      <c r="G133" s="2" t="s">
        <v>170</v>
      </c>
      <c r="H133" s="4">
        <v>568</v>
      </c>
      <c r="I133" s="4">
        <v>18067.009999999998</v>
      </c>
    </row>
    <row r="134" spans="2:9" hidden="1" x14ac:dyDescent="0.35">
      <c r="B134" s="2" t="s">
        <v>168</v>
      </c>
      <c r="C134" s="2" t="s">
        <v>10</v>
      </c>
      <c r="D134" s="2"/>
      <c r="E134" s="2" t="s">
        <v>60</v>
      </c>
      <c r="F134" s="2"/>
      <c r="G134" s="2" t="s">
        <v>170</v>
      </c>
      <c r="H134" s="4">
        <v>200</v>
      </c>
      <c r="I134" s="4">
        <v>18267.009999999998</v>
      </c>
    </row>
    <row r="135" spans="2:9" hidden="1" x14ac:dyDescent="0.35">
      <c r="B135" s="2" t="s">
        <v>171</v>
      </c>
      <c r="C135" s="2" t="s">
        <v>16</v>
      </c>
      <c r="D135" s="2">
        <v>2534</v>
      </c>
      <c r="E135" s="2" t="s">
        <v>172</v>
      </c>
      <c r="F135" s="2"/>
      <c r="G135" s="2" t="s">
        <v>157</v>
      </c>
      <c r="H135" s="4">
        <v>-199.86</v>
      </c>
      <c r="I135" s="4">
        <v>18067.150000000001</v>
      </c>
    </row>
    <row r="136" spans="2:9" hidden="1" x14ac:dyDescent="0.35">
      <c r="B136" s="2" t="s">
        <v>171</v>
      </c>
      <c r="C136" s="2" t="s">
        <v>16</v>
      </c>
      <c r="D136" s="2">
        <v>2535</v>
      </c>
      <c r="E136" s="2" t="s">
        <v>94</v>
      </c>
      <c r="F136" s="2"/>
      <c r="G136" s="2" t="s">
        <v>157</v>
      </c>
      <c r="H136" s="4">
        <v>-578.65</v>
      </c>
      <c r="I136" s="4">
        <v>17488.5</v>
      </c>
    </row>
    <row r="137" spans="2:9" hidden="1" x14ac:dyDescent="0.35">
      <c r="B137" s="2" t="s">
        <v>171</v>
      </c>
      <c r="C137" s="2" t="s">
        <v>16</v>
      </c>
      <c r="D137" s="2">
        <v>2533</v>
      </c>
      <c r="E137" s="2" t="s">
        <v>172</v>
      </c>
      <c r="F137" s="2"/>
      <c r="G137" s="2" t="s">
        <v>173</v>
      </c>
      <c r="H137" s="4">
        <v>-31.8</v>
      </c>
      <c r="I137" s="4">
        <v>17456.7</v>
      </c>
    </row>
    <row r="138" spans="2:9" hidden="1" x14ac:dyDescent="0.35">
      <c r="B138" s="2" t="s">
        <v>174</v>
      </c>
      <c r="C138" s="2" t="s">
        <v>16</v>
      </c>
      <c r="D138" s="2">
        <v>2536</v>
      </c>
      <c r="E138" s="2" t="s">
        <v>175</v>
      </c>
      <c r="F138" s="2"/>
      <c r="G138" s="2" t="s">
        <v>173</v>
      </c>
      <c r="H138" s="4">
        <v>-310.99</v>
      </c>
      <c r="I138" s="4">
        <v>17145.71</v>
      </c>
    </row>
    <row r="139" spans="2:9" hidden="1" x14ac:dyDescent="0.35">
      <c r="B139" s="2" t="s">
        <v>176</v>
      </c>
      <c r="C139" s="2" t="s">
        <v>10</v>
      </c>
      <c r="D139" s="2"/>
      <c r="E139" s="2"/>
      <c r="F139" s="2"/>
      <c r="G139" s="3" t="s">
        <v>11</v>
      </c>
      <c r="H139" s="4">
        <v>9.66</v>
      </c>
      <c r="I139" s="4">
        <v>17155.37</v>
      </c>
    </row>
    <row r="140" spans="2:9" hidden="1" x14ac:dyDescent="0.35">
      <c r="B140" s="2" t="s">
        <v>177</v>
      </c>
      <c r="C140" s="2" t="s">
        <v>10</v>
      </c>
      <c r="D140" s="2"/>
      <c r="E140" s="2" t="s">
        <v>96</v>
      </c>
      <c r="F140" s="2"/>
      <c r="G140" s="2" t="s">
        <v>169</v>
      </c>
      <c r="H140" s="4">
        <v>143</v>
      </c>
      <c r="I140" s="4">
        <v>17298.37</v>
      </c>
    </row>
    <row r="141" spans="2:9" hidden="1" x14ac:dyDescent="0.35">
      <c r="B141" s="2" t="s">
        <v>177</v>
      </c>
      <c r="C141" s="2" t="s">
        <v>10</v>
      </c>
      <c r="D141" s="2"/>
      <c r="E141" s="2" t="s">
        <v>178</v>
      </c>
      <c r="F141" s="2"/>
      <c r="G141" s="2" t="s">
        <v>179</v>
      </c>
      <c r="H141" s="4">
        <v>229</v>
      </c>
      <c r="I141" s="4">
        <v>17527.37</v>
      </c>
    </row>
    <row r="142" spans="2:9" hidden="1" x14ac:dyDescent="0.35">
      <c r="B142" s="2" t="s">
        <v>180</v>
      </c>
      <c r="C142" s="2" t="s">
        <v>16</v>
      </c>
      <c r="D142" s="2">
        <v>2537</v>
      </c>
      <c r="E142" s="2" t="s">
        <v>178</v>
      </c>
      <c r="F142" s="2"/>
      <c r="G142" s="2" t="s">
        <v>179</v>
      </c>
      <c r="H142" s="4">
        <v>-234</v>
      </c>
      <c r="I142" s="4">
        <v>17293.37</v>
      </c>
    </row>
    <row r="143" spans="2:9" hidden="1" x14ac:dyDescent="0.35">
      <c r="B143" s="2" t="s">
        <v>181</v>
      </c>
      <c r="C143" s="2" t="s">
        <v>10</v>
      </c>
      <c r="D143" s="2"/>
      <c r="E143" s="2" t="s">
        <v>13</v>
      </c>
      <c r="F143" s="2"/>
      <c r="G143" s="2" t="s">
        <v>14</v>
      </c>
      <c r="H143" s="4">
        <v>12.55</v>
      </c>
      <c r="I143" s="4">
        <v>17305.919999999998</v>
      </c>
    </row>
    <row r="144" spans="2:9" hidden="1" x14ac:dyDescent="0.35">
      <c r="B144" s="2" t="s">
        <v>182</v>
      </c>
      <c r="C144" s="2" t="s">
        <v>16</v>
      </c>
      <c r="D144" s="2">
        <v>2538</v>
      </c>
      <c r="E144" s="2" t="s">
        <v>131</v>
      </c>
      <c r="F144" s="2"/>
      <c r="G144" s="2" t="s">
        <v>183</v>
      </c>
      <c r="H144" s="4">
        <v>-1426.56</v>
      </c>
      <c r="I144" s="4">
        <v>15879.36</v>
      </c>
    </row>
    <row r="145" spans="2:9" hidden="1" x14ac:dyDescent="0.35">
      <c r="B145" s="2" t="s">
        <v>184</v>
      </c>
      <c r="C145" s="2" t="s">
        <v>16</v>
      </c>
      <c r="D145" s="2">
        <v>2540</v>
      </c>
      <c r="E145" s="2" t="s">
        <v>185</v>
      </c>
      <c r="F145" s="2"/>
      <c r="G145" s="2" t="s">
        <v>24</v>
      </c>
      <c r="H145" s="4">
        <v>-150</v>
      </c>
      <c r="I145" s="4">
        <v>15729.36</v>
      </c>
    </row>
    <row r="146" spans="2:9" hidden="1" x14ac:dyDescent="0.35">
      <c r="B146" s="2" t="s">
        <v>184</v>
      </c>
      <c r="C146" s="2" t="s">
        <v>16</v>
      </c>
      <c r="D146" s="2">
        <v>2539</v>
      </c>
      <c r="E146" s="2" t="s">
        <v>186</v>
      </c>
      <c r="F146" s="2"/>
      <c r="G146" s="2" t="s">
        <v>187</v>
      </c>
      <c r="H146" s="4">
        <v>-591.58000000000004</v>
      </c>
      <c r="I146" s="4">
        <v>15137.78</v>
      </c>
    </row>
    <row r="147" spans="2:9" hidden="1" x14ac:dyDescent="0.35">
      <c r="B147" s="2" t="s">
        <v>188</v>
      </c>
      <c r="C147" s="2" t="s">
        <v>16</v>
      </c>
      <c r="D147" s="2">
        <v>2542</v>
      </c>
      <c r="E147" s="2" t="s">
        <v>57</v>
      </c>
      <c r="F147" s="2"/>
      <c r="G147" s="2" t="s">
        <v>162</v>
      </c>
      <c r="H147" s="4">
        <v>-133.03</v>
      </c>
      <c r="I147" s="4">
        <v>15004.75</v>
      </c>
    </row>
    <row r="148" spans="2:9" hidden="1" x14ac:dyDescent="0.35">
      <c r="B148" s="2" t="s">
        <v>188</v>
      </c>
      <c r="C148" s="2" t="s">
        <v>16</v>
      </c>
      <c r="D148" s="2">
        <v>2541</v>
      </c>
      <c r="E148" s="2" t="s">
        <v>189</v>
      </c>
      <c r="F148" s="2"/>
      <c r="G148" s="2" t="s">
        <v>24</v>
      </c>
      <c r="H148" s="4">
        <v>-150</v>
      </c>
      <c r="I148" s="4">
        <v>14854.75</v>
      </c>
    </row>
    <row r="149" spans="2:9" hidden="1" x14ac:dyDescent="0.35">
      <c r="B149" s="2" t="s">
        <v>188</v>
      </c>
      <c r="C149" s="2" t="s">
        <v>10</v>
      </c>
      <c r="D149" s="2"/>
      <c r="E149" s="2"/>
      <c r="F149" s="2"/>
      <c r="G149" s="2" t="s">
        <v>190</v>
      </c>
      <c r="H149" s="4">
        <v>20</v>
      </c>
      <c r="I149" s="4">
        <v>14874.75</v>
      </c>
    </row>
    <row r="150" spans="2:9" hidden="1" x14ac:dyDescent="0.35">
      <c r="B150" s="2" t="s">
        <v>191</v>
      </c>
      <c r="C150" s="2" t="s">
        <v>16</v>
      </c>
      <c r="D150" s="2">
        <v>2545</v>
      </c>
      <c r="E150" s="2" t="s">
        <v>192</v>
      </c>
      <c r="F150" s="2"/>
      <c r="G150" s="2" t="s">
        <v>24</v>
      </c>
      <c r="H150" s="4">
        <v>-300</v>
      </c>
      <c r="I150" s="4">
        <v>14574.75</v>
      </c>
    </row>
    <row r="151" spans="2:9" hidden="1" x14ac:dyDescent="0.35">
      <c r="B151" s="2" t="s">
        <v>191</v>
      </c>
      <c r="C151" s="2" t="s">
        <v>10</v>
      </c>
      <c r="D151" s="2"/>
      <c r="E151" s="2"/>
      <c r="F151" s="2"/>
      <c r="G151" s="3" t="s">
        <v>11</v>
      </c>
      <c r="H151" s="4">
        <v>315</v>
      </c>
      <c r="I151" s="4">
        <v>14889.75</v>
      </c>
    </row>
    <row r="152" spans="2:9" hidden="1" x14ac:dyDescent="0.35">
      <c r="B152" s="2" t="s">
        <v>191</v>
      </c>
      <c r="C152" s="2" t="s">
        <v>16</v>
      </c>
      <c r="D152" s="2">
        <v>2544</v>
      </c>
      <c r="E152" s="2" t="s">
        <v>193</v>
      </c>
      <c r="F152" s="2"/>
      <c r="G152" s="2" t="s">
        <v>24</v>
      </c>
      <c r="H152" s="4">
        <v>-70.81</v>
      </c>
      <c r="I152" s="4">
        <v>14818.94</v>
      </c>
    </row>
    <row r="153" spans="2:9" hidden="1" x14ac:dyDescent="0.35">
      <c r="B153" s="2" t="s">
        <v>191</v>
      </c>
      <c r="C153" s="2" t="s">
        <v>16</v>
      </c>
      <c r="D153" s="2">
        <v>2543</v>
      </c>
      <c r="E153" s="2" t="s">
        <v>107</v>
      </c>
      <c r="F153" s="2"/>
      <c r="G153" s="2" t="s">
        <v>108</v>
      </c>
      <c r="H153" s="4">
        <v>-130</v>
      </c>
      <c r="I153" s="4">
        <v>14688.94</v>
      </c>
    </row>
    <row r="154" spans="2:9" hidden="1" x14ac:dyDescent="0.35">
      <c r="B154" s="2" t="s">
        <v>194</v>
      </c>
      <c r="C154" s="2" t="s">
        <v>16</v>
      </c>
      <c r="D154" s="2">
        <v>2546</v>
      </c>
      <c r="E154" s="2" t="s">
        <v>195</v>
      </c>
      <c r="F154" s="2"/>
      <c r="G154" s="2" t="s">
        <v>196</v>
      </c>
      <c r="H154" s="4">
        <v>-226</v>
      </c>
      <c r="I154" s="4">
        <v>14462.94</v>
      </c>
    </row>
    <row r="155" spans="2:9" hidden="1" x14ac:dyDescent="0.35">
      <c r="B155" s="2" t="s">
        <v>194</v>
      </c>
      <c r="C155" s="2" t="s">
        <v>16</v>
      </c>
      <c r="D155" s="2">
        <v>2548</v>
      </c>
      <c r="E155" s="2" t="s">
        <v>197</v>
      </c>
      <c r="F155" s="2"/>
      <c r="G155" s="2" t="s">
        <v>198</v>
      </c>
      <c r="H155" s="4">
        <v>-986.6</v>
      </c>
      <c r="I155" s="4">
        <v>13476.34</v>
      </c>
    </row>
    <row r="156" spans="2:9" hidden="1" x14ac:dyDescent="0.35">
      <c r="B156" s="2" t="s">
        <v>194</v>
      </c>
      <c r="C156" s="2" t="s">
        <v>16</v>
      </c>
      <c r="D156" s="2">
        <v>2549</v>
      </c>
      <c r="E156" s="2" t="s">
        <v>199</v>
      </c>
      <c r="F156" s="2"/>
      <c r="G156" s="2" t="s">
        <v>200</v>
      </c>
      <c r="H156" s="4">
        <v>-765</v>
      </c>
      <c r="I156" s="4">
        <v>12711.34</v>
      </c>
    </row>
    <row r="157" spans="2:9" hidden="1" x14ac:dyDescent="0.35">
      <c r="B157" s="2" t="s">
        <v>194</v>
      </c>
      <c r="C157" s="2" t="s">
        <v>16</v>
      </c>
      <c r="D157" s="2">
        <v>2547</v>
      </c>
      <c r="E157" s="2" t="s">
        <v>31</v>
      </c>
      <c r="F157" s="2"/>
      <c r="G157" s="2" t="s">
        <v>198</v>
      </c>
      <c r="H157" s="4">
        <v>-362.85</v>
      </c>
      <c r="I157" s="4">
        <v>12348.49</v>
      </c>
    </row>
    <row r="158" spans="2:9" hidden="1" x14ac:dyDescent="0.35">
      <c r="B158" s="2" t="s">
        <v>201</v>
      </c>
      <c r="C158" s="2" t="s">
        <v>16</v>
      </c>
      <c r="D158" s="2">
        <v>2551</v>
      </c>
      <c r="E158" s="2" t="s">
        <v>202</v>
      </c>
      <c r="F158" s="2"/>
      <c r="G158" s="2" t="s">
        <v>203</v>
      </c>
      <c r="H158" s="4">
        <v>-183.96</v>
      </c>
      <c r="I158" s="4">
        <v>12164.53</v>
      </c>
    </row>
    <row r="159" spans="2:9" hidden="1" x14ac:dyDescent="0.35">
      <c r="B159" s="2" t="s">
        <v>201</v>
      </c>
      <c r="C159" s="2" t="s">
        <v>16</v>
      </c>
      <c r="D159" s="2">
        <v>2553</v>
      </c>
      <c r="E159" s="2" t="s">
        <v>204</v>
      </c>
      <c r="F159" s="2"/>
      <c r="G159" s="2" t="s">
        <v>203</v>
      </c>
      <c r="H159" s="4">
        <v>-487.61</v>
      </c>
      <c r="I159" s="4">
        <v>11676.92</v>
      </c>
    </row>
    <row r="160" spans="2:9" hidden="1" x14ac:dyDescent="0.35">
      <c r="B160" s="2" t="s">
        <v>201</v>
      </c>
      <c r="C160" s="2" t="s">
        <v>16</v>
      </c>
      <c r="D160" s="2">
        <v>2552</v>
      </c>
      <c r="E160" s="2" t="s">
        <v>186</v>
      </c>
      <c r="F160" s="2"/>
      <c r="G160" s="2" t="s">
        <v>205</v>
      </c>
      <c r="H160" s="4">
        <v>-551.37</v>
      </c>
      <c r="I160" s="4">
        <v>11125.55</v>
      </c>
    </row>
    <row r="161" spans="2:9" hidden="1" x14ac:dyDescent="0.35">
      <c r="B161" s="2" t="s">
        <v>201</v>
      </c>
      <c r="C161" s="2" t="s">
        <v>16</v>
      </c>
      <c r="D161" s="2">
        <v>2550</v>
      </c>
      <c r="E161" s="2" t="s">
        <v>206</v>
      </c>
      <c r="F161" s="2"/>
      <c r="G161" s="2" t="s">
        <v>24</v>
      </c>
      <c r="H161" s="4">
        <v>-150</v>
      </c>
      <c r="I161" s="4">
        <v>10975.55</v>
      </c>
    </row>
    <row r="162" spans="2:9" hidden="1" x14ac:dyDescent="0.35">
      <c r="B162" s="2" t="s">
        <v>207</v>
      </c>
      <c r="C162" s="2" t="s">
        <v>10</v>
      </c>
      <c r="D162" s="2"/>
      <c r="E162" s="2" t="s">
        <v>208</v>
      </c>
      <c r="F162" s="2"/>
      <c r="G162" s="2" t="s">
        <v>179</v>
      </c>
      <c r="H162" s="4">
        <v>306</v>
      </c>
      <c r="I162" s="4">
        <v>11281.55</v>
      </c>
    </row>
    <row r="163" spans="2:9" hidden="1" x14ac:dyDescent="0.35">
      <c r="B163" s="2" t="s">
        <v>207</v>
      </c>
      <c r="C163" s="2" t="s">
        <v>16</v>
      </c>
      <c r="D163" s="2">
        <v>2554</v>
      </c>
      <c r="E163" s="2" t="s">
        <v>209</v>
      </c>
      <c r="F163" s="2"/>
      <c r="G163" s="2" t="s">
        <v>24</v>
      </c>
      <c r="H163" s="4">
        <v>-148.03</v>
      </c>
      <c r="I163" s="4">
        <v>11133.52</v>
      </c>
    </row>
    <row r="164" spans="2:9" hidden="1" x14ac:dyDescent="0.35">
      <c r="B164" s="2" t="s">
        <v>207</v>
      </c>
      <c r="C164" s="2" t="s">
        <v>16</v>
      </c>
      <c r="D164" s="2">
        <v>2556</v>
      </c>
      <c r="E164" s="2" t="s">
        <v>57</v>
      </c>
      <c r="F164" s="2"/>
      <c r="G164" s="2" t="s">
        <v>183</v>
      </c>
      <c r="H164" s="4">
        <v>-64.95</v>
      </c>
      <c r="I164" s="4">
        <v>11068.57</v>
      </c>
    </row>
    <row r="165" spans="2:9" hidden="1" x14ac:dyDescent="0.35">
      <c r="B165" s="2" t="s">
        <v>207</v>
      </c>
      <c r="C165" s="2" t="s">
        <v>16</v>
      </c>
      <c r="D165" s="2">
        <v>2555</v>
      </c>
      <c r="E165" s="2" t="s">
        <v>210</v>
      </c>
      <c r="F165" s="2"/>
      <c r="G165" s="2" t="s">
        <v>24</v>
      </c>
      <c r="H165" s="4">
        <v>-299.99</v>
      </c>
      <c r="I165" s="4">
        <v>10768.58</v>
      </c>
    </row>
    <row r="166" spans="2:9" hidden="1" x14ac:dyDescent="0.35">
      <c r="B166" s="2" t="s">
        <v>211</v>
      </c>
      <c r="C166" s="2" t="s">
        <v>16</v>
      </c>
      <c r="D166" s="2">
        <v>2559</v>
      </c>
      <c r="E166" s="2" t="s">
        <v>208</v>
      </c>
      <c r="F166" s="2"/>
      <c r="G166" s="2" t="s">
        <v>179</v>
      </c>
      <c r="H166" s="4">
        <v>-242.7</v>
      </c>
      <c r="I166" s="4">
        <v>10525.88</v>
      </c>
    </row>
    <row r="167" spans="2:9" hidden="1" x14ac:dyDescent="0.35">
      <c r="B167" s="2" t="s">
        <v>211</v>
      </c>
      <c r="C167" s="2" t="s">
        <v>16</v>
      </c>
      <c r="D167" s="2">
        <v>2557</v>
      </c>
      <c r="E167" s="2" t="s">
        <v>57</v>
      </c>
      <c r="F167" s="2" t="s">
        <v>212</v>
      </c>
      <c r="G167" s="2" t="s">
        <v>162</v>
      </c>
      <c r="H167" s="4">
        <v>-200</v>
      </c>
      <c r="I167" s="4">
        <v>10325.879999999999</v>
      </c>
    </row>
    <row r="168" spans="2:9" hidden="1" x14ac:dyDescent="0.35">
      <c r="B168" s="2" t="s">
        <v>211</v>
      </c>
      <c r="C168" s="2" t="s">
        <v>16</v>
      </c>
      <c r="D168" s="2">
        <v>2558</v>
      </c>
      <c r="E168" s="2" t="s">
        <v>213</v>
      </c>
      <c r="F168" s="2"/>
      <c r="G168" s="2" t="s">
        <v>24</v>
      </c>
      <c r="H168" s="4">
        <v>-149.33000000000001</v>
      </c>
      <c r="I168" s="4">
        <v>10176.549999999999</v>
      </c>
    </row>
    <row r="169" spans="2:9" hidden="1" x14ac:dyDescent="0.35">
      <c r="B169" s="2" t="s">
        <v>214</v>
      </c>
      <c r="C169" s="2" t="s">
        <v>16</v>
      </c>
      <c r="D169" s="2">
        <v>2561</v>
      </c>
      <c r="E169" s="2" t="s">
        <v>122</v>
      </c>
      <c r="F169" s="2"/>
      <c r="G169" s="2" t="s">
        <v>98</v>
      </c>
      <c r="H169" s="4">
        <v>-2000</v>
      </c>
      <c r="I169" s="4">
        <v>8176.55</v>
      </c>
    </row>
    <row r="170" spans="2:9" hidden="1" x14ac:dyDescent="0.35">
      <c r="B170" s="2" t="s">
        <v>214</v>
      </c>
      <c r="C170" s="2" t="s">
        <v>16</v>
      </c>
      <c r="D170" s="2">
        <v>2564</v>
      </c>
      <c r="E170" s="2" t="s">
        <v>161</v>
      </c>
      <c r="F170" s="2"/>
      <c r="G170" s="2" t="s">
        <v>162</v>
      </c>
      <c r="H170" s="4">
        <v>-1538.75</v>
      </c>
      <c r="I170" s="4">
        <v>6637.8</v>
      </c>
    </row>
    <row r="171" spans="2:9" hidden="1" x14ac:dyDescent="0.35">
      <c r="B171" s="2" t="s">
        <v>214</v>
      </c>
      <c r="C171" s="2" t="s">
        <v>16</v>
      </c>
      <c r="D171" s="2">
        <v>2563</v>
      </c>
      <c r="E171" s="2" t="s">
        <v>215</v>
      </c>
      <c r="F171" s="2"/>
      <c r="G171" s="2" t="s">
        <v>24</v>
      </c>
      <c r="H171" s="4">
        <v>-57.84</v>
      </c>
      <c r="I171" s="4">
        <v>6579.96</v>
      </c>
    </row>
    <row r="172" spans="2:9" hidden="1" x14ac:dyDescent="0.35">
      <c r="B172" s="2" t="s">
        <v>214</v>
      </c>
      <c r="C172" s="2" t="s">
        <v>16</v>
      </c>
      <c r="D172" s="2">
        <v>2560</v>
      </c>
      <c r="E172" s="2" t="s">
        <v>216</v>
      </c>
      <c r="F172" s="2"/>
      <c r="G172" s="2" t="s">
        <v>217</v>
      </c>
      <c r="H172" s="4">
        <v>-277.45</v>
      </c>
      <c r="I172" s="4">
        <v>6302.51</v>
      </c>
    </row>
    <row r="173" spans="2:9" hidden="1" x14ac:dyDescent="0.35">
      <c r="B173" s="2" t="s">
        <v>214</v>
      </c>
      <c r="C173" s="2" t="s">
        <v>16</v>
      </c>
      <c r="D173" s="2">
        <v>2562</v>
      </c>
      <c r="E173" s="2" t="s">
        <v>218</v>
      </c>
      <c r="F173" s="2"/>
      <c r="G173" s="2" t="s">
        <v>24</v>
      </c>
      <c r="H173" s="4">
        <v>-150</v>
      </c>
      <c r="I173" s="4">
        <v>6152.51</v>
      </c>
    </row>
    <row r="174" spans="2:9" hidden="1" x14ac:dyDescent="0.35">
      <c r="B174" s="2" t="s">
        <v>219</v>
      </c>
      <c r="C174" s="2" t="s">
        <v>16</v>
      </c>
      <c r="D174" s="2">
        <v>2566</v>
      </c>
      <c r="E174" s="2" t="s">
        <v>122</v>
      </c>
      <c r="F174" s="2"/>
      <c r="G174" s="2" t="s">
        <v>220</v>
      </c>
      <c r="H174" s="4">
        <v>-328.43</v>
      </c>
      <c r="I174" s="4">
        <v>5824.08</v>
      </c>
    </row>
    <row r="175" spans="2:9" hidden="1" x14ac:dyDescent="0.35">
      <c r="B175" s="2" t="s">
        <v>219</v>
      </c>
      <c r="C175" s="2" t="s">
        <v>16</v>
      </c>
      <c r="D175" s="2">
        <v>2565</v>
      </c>
      <c r="E175" s="2" t="s">
        <v>30</v>
      </c>
      <c r="F175" s="2"/>
      <c r="G175" s="2" t="s">
        <v>24</v>
      </c>
      <c r="H175" s="4">
        <v>-64</v>
      </c>
      <c r="I175" s="4">
        <v>5760.08</v>
      </c>
    </row>
    <row r="176" spans="2:9" hidden="1" x14ac:dyDescent="0.35">
      <c r="B176" s="2" t="s">
        <v>219</v>
      </c>
      <c r="C176" s="2" t="s">
        <v>16</v>
      </c>
      <c r="D176" s="2">
        <v>2567</v>
      </c>
      <c r="E176" s="2" t="s">
        <v>57</v>
      </c>
      <c r="F176" s="2"/>
      <c r="G176" s="2" t="s">
        <v>162</v>
      </c>
      <c r="H176" s="4">
        <v>-196.82</v>
      </c>
      <c r="I176" s="4">
        <v>5563.26</v>
      </c>
    </row>
    <row r="177" spans="2:9" hidden="1" x14ac:dyDescent="0.35">
      <c r="B177" s="2" t="s">
        <v>221</v>
      </c>
      <c r="C177" s="2" t="s">
        <v>10</v>
      </c>
      <c r="D177" s="2"/>
      <c r="E177" s="2"/>
      <c r="F177" s="2"/>
      <c r="G177" s="3" t="s">
        <v>11</v>
      </c>
      <c r="H177" s="4">
        <v>245</v>
      </c>
      <c r="I177" s="4">
        <v>5808.26</v>
      </c>
    </row>
    <row r="178" spans="2:9" hidden="1" x14ac:dyDescent="0.35">
      <c r="B178" s="2" t="s">
        <v>221</v>
      </c>
      <c r="C178" s="2" t="s">
        <v>10</v>
      </c>
      <c r="D178" s="2"/>
      <c r="E178" s="2" t="s">
        <v>57</v>
      </c>
      <c r="F178" s="2"/>
      <c r="G178" s="2" t="s">
        <v>222</v>
      </c>
      <c r="H178" s="4">
        <v>4215</v>
      </c>
      <c r="I178" s="4">
        <v>10023.26</v>
      </c>
    </row>
    <row r="179" spans="2:9" hidden="1" x14ac:dyDescent="0.35">
      <c r="B179" s="2" t="s">
        <v>221</v>
      </c>
      <c r="C179" s="2" t="s">
        <v>16</v>
      </c>
      <c r="D179" s="2">
        <v>2568</v>
      </c>
      <c r="E179" s="2" t="s">
        <v>223</v>
      </c>
      <c r="F179" s="2"/>
      <c r="G179" s="2" t="s">
        <v>224</v>
      </c>
      <c r="H179" s="4">
        <v>-68.7</v>
      </c>
      <c r="I179" s="4">
        <v>9954.56</v>
      </c>
    </row>
    <row r="180" spans="2:9" hidden="1" x14ac:dyDescent="0.35">
      <c r="B180" s="2" t="s">
        <v>221</v>
      </c>
      <c r="C180" s="2" t="s">
        <v>16</v>
      </c>
      <c r="D180" s="2">
        <v>2569</v>
      </c>
      <c r="E180" s="2" t="s">
        <v>225</v>
      </c>
      <c r="F180" s="2"/>
      <c r="G180" s="2" t="s">
        <v>226</v>
      </c>
      <c r="H180" s="4">
        <v>-395.25</v>
      </c>
      <c r="I180" s="4">
        <v>9559.31</v>
      </c>
    </row>
    <row r="181" spans="2:9" hidden="1" x14ac:dyDescent="0.35">
      <c r="B181" s="2" t="s">
        <v>227</v>
      </c>
      <c r="C181" s="2" t="s">
        <v>16</v>
      </c>
      <c r="D181" s="2">
        <v>2570</v>
      </c>
      <c r="E181" s="2" t="s">
        <v>57</v>
      </c>
      <c r="F181" s="2"/>
      <c r="G181" s="2" t="s">
        <v>58</v>
      </c>
      <c r="H181" s="4">
        <v>-113.69</v>
      </c>
      <c r="I181" s="4">
        <v>9445.6200000000008</v>
      </c>
    </row>
    <row r="182" spans="2:9" hidden="1" x14ac:dyDescent="0.35">
      <c r="B182" s="2" t="s">
        <v>228</v>
      </c>
      <c r="C182" s="2" t="s">
        <v>16</v>
      </c>
      <c r="D182" s="2">
        <v>2574</v>
      </c>
      <c r="E182" s="2" t="s">
        <v>31</v>
      </c>
      <c r="F182" s="2"/>
      <c r="G182" s="2" t="s">
        <v>24</v>
      </c>
      <c r="H182" s="4">
        <v>-7.98</v>
      </c>
      <c r="I182" s="4">
        <v>9437.64</v>
      </c>
    </row>
    <row r="183" spans="2:9" hidden="1" x14ac:dyDescent="0.35">
      <c r="B183" s="2" t="s">
        <v>228</v>
      </c>
      <c r="C183" s="2" t="s">
        <v>16</v>
      </c>
      <c r="D183" s="2">
        <v>2575</v>
      </c>
      <c r="E183" s="2" t="s">
        <v>31</v>
      </c>
      <c r="F183" s="2"/>
      <c r="G183" s="2" t="s">
        <v>220</v>
      </c>
      <c r="H183" s="4">
        <v>-33.869999999999997</v>
      </c>
      <c r="I183" s="4">
        <v>9403.77</v>
      </c>
    </row>
    <row r="184" spans="2:9" hidden="1" x14ac:dyDescent="0.35">
      <c r="B184" s="2" t="s">
        <v>228</v>
      </c>
      <c r="C184" s="2" t="s">
        <v>16</v>
      </c>
      <c r="D184" s="2">
        <v>2576</v>
      </c>
      <c r="E184" s="2" t="s">
        <v>197</v>
      </c>
      <c r="F184" s="2"/>
      <c r="G184" s="2" t="s">
        <v>220</v>
      </c>
      <c r="H184" s="4">
        <v>-389.34</v>
      </c>
      <c r="I184" s="4">
        <v>9014.43</v>
      </c>
    </row>
    <row r="185" spans="2:9" hidden="1" x14ac:dyDescent="0.35">
      <c r="B185" s="2" t="s">
        <v>228</v>
      </c>
      <c r="C185" s="2" t="s">
        <v>16</v>
      </c>
      <c r="D185" s="2">
        <v>2571</v>
      </c>
      <c r="E185" s="2" t="s">
        <v>229</v>
      </c>
      <c r="F185" s="2"/>
      <c r="G185" s="2" t="s">
        <v>58</v>
      </c>
      <c r="H185" s="4">
        <v>-28.1</v>
      </c>
      <c r="I185" s="4">
        <v>8986.33</v>
      </c>
    </row>
    <row r="186" spans="2:9" hidden="1" x14ac:dyDescent="0.35">
      <c r="B186" s="2" t="s">
        <v>228</v>
      </c>
      <c r="C186" s="2" t="s">
        <v>16</v>
      </c>
      <c r="D186" s="2">
        <v>2573</v>
      </c>
      <c r="E186" s="2" t="s">
        <v>122</v>
      </c>
      <c r="F186" s="2"/>
      <c r="G186" s="2" t="s">
        <v>220</v>
      </c>
      <c r="H186" s="4">
        <v>-170</v>
      </c>
      <c r="I186" s="4">
        <v>8816.33</v>
      </c>
    </row>
    <row r="187" spans="2:9" hidden="1" x14ac:dyDescent="0.35">
      <c r="B187" s="2" t="s">
        <v>228</v>
      </c>
      <c r="C187" s="2" t="s">
        <v>16</v>
      </c>
      <c r="D187" s="2">
        <v>2572</v>
      </c>
      <c r="E187" s="2" t="s">
        <v>230</v>
      </c>
      <c r="F187" s="2"/>
      <c r="G187" s="2" t="s">
        <v>226</v>
      </c>
      <c r="H187" s="4">
        <v>-219.96</v>
      </c>
      <c r="I187" s="4">
        <v>8596.3700000000008</v>
      </c>
    </row>
    <row r="188" spans="2:9" hidden="1" x14ac:dyDescent="0.35">
      <c r="B188" s="2" t="s">
        <v>228</v>
      </c>
      <c r="C188" s="2" t="s">
        <v>16</v>
      </c>
      <c r="D188" s="2">
        <v>2577</v>
      </c>
      <c r="E188" s="2" t="s">
        <v>231</v>
      </c>
      <c r="F188" s="2"/>
      <c r="G188" s="2" t="s">
        <v>24</v>
      </c>
      <c r="H188" s="4">
        <v>-147.36000000000001</v>
      </c>
      <c r="I188" s="4">
        <v>8449.01</v>
      </c>
    </row>
    <row r="189" spans="2:9" hidden="1" x14ac:dyDescent="0.35">
      <c r="B189" s="2" t="s">
        <v>232</v>
      </c>
      <c r="C189" s="2" t="s">
        <v>16</v>
      </c>
      <c r="D189" s="2">
        <v>2580</v>
      </c>
      <c r="E189" s="2" t="s">
        <v>233</v>
      </c>
      <c r="F189" s="2"/>
      <c r="G189" s="2" t="s">
        <v>179</v>
      </c>
      <c r="H189" s="4">
        <v>-183.34</v>
      </c>
      <c r="I189" s="4">
        <v>8265.67</v>
      </c>
    </row>
    <row r="190" spans="2:9" hidden="1" x14ac:dyDescent="0.35">
      <c r="B190" s="2" t="s">
        <v>232</v>
      </c>
      <c r="C190" s="2" t="s">
        <v>16</v>
      </c>
      <c r="D190" s="2">
        <v>2579</v>
      </c>
      <c r="E190" s="2" t="s">
        <v>60</v>
      </c>
      <c r="F190" s="2"/>
      <c r="G190" s="2" t="s">
        <v>234</v>
      </c>
      <c r="H190" s="4">
        <v>-956.4</v>
      </c>
      <c r="I190" s="4">
        <v>7309.27</v>
      </c>
    </row>
    <row r="191" spans="2:9" hidden="1" x14ac:dyDescent="0.35">
      <c r="B191" s="2" t="s">
        <v>232</v>
      </c>
      <c r="C191" s="2" t="s">
        <v>16</v>
      </c>
      <c r="D191" s="2">
        <v>2578</v>
      </c>
      <c r="E191" s="2" t="s">
        <v>186</v>
      </c>
      <c r="F191" s="2"/>
      <c r="G191" s="2" t="s">
        <v>187</v>
      </c>
      <c r="H191" s="4">
        <v>-503</v>
      </c>
      <c r="I191" s="4">
        <v>6806.27</v>
      </c>
    </row>
    <row r="192" spans="2:9" hidden="1" x14ac:dyDescent="0.35">
      <c r="B192" s="2" t="s">
        <v>235</v>
      </c>
      <c r="C192" s="2" t="s">
        <v>10</v>
      </c>
      <c r="D192" s="2"/>
      <c r="E192" s="2" t="s">
        <v>103</v>
      </c>
      <c r="F192" s="2"/>
      <c r="G192" s="2" t="s">
        <v>104</v>
      </c>
      <c r="H192" s="4">
        <v>470.23</v>
      </c>
      <c r="I192" s="4">
        <v>7276.5</v>
      </c>
    </row>
    <row r="193" spans="1:9" x14ac:dyDescent="0.35">
      <c r="A193" s="174" t="s">
        <v>236</v>
      </c>
      <c r="H193" s="5">
        <v>7276.5</v>
      </c>
    </row>
    <row r="194" spans="1:9" x14ac:dyDescent="0.35">
      <c r="A194" s="174" t="s">
        <v>237</v>
      </c>
    </row>
    <row r="195" spans="1:9" x14ac:dyDescent="0.35">
      <c r="A195" s="174" t="s">
        <v>238</v>
      </c>
    </row>
    <row r="196" spans="1:9" x14ac:dyDescent="0.35">
      <c r="B196" s="2" t="s">
        <v>82</v>
      </c>
      <c r="C196" s="2" t="s">
        <v>16</v>
      </c>
      <c r="D196" s="2">
        <v>2489</v>
      </c>
      <c r="E196" s="2" t="s">
        <v>84</v>
      </c>
      <c r="F196" s="2" t="s">
        <v>239</v>
      </c>
      <c r="G196" s="2" t="s">
        <v>8</v>
      </c>
      <c r="H196" s="4">
        <v>-6393.33</v>
      </c>
      <c r="I196" s="4">
        <v>-6393.33</v>
      </c>
    </row>
    <row r="197" spans="1:9" x14ac:dyDescent="0.35">
      <c r="A197" s="174" t="s">
        <v>240</v>
      </c>
      <c r="H197" s="5">
        <v>-6393.33</v>
      </c>
    </row>
    <row r="198" spans="1:9" x14ac:dyDescent="0.35">
      <c r="A198" s="174" t="s">
        <v>241</v>
      </c>
    </row>
    <row r="199" spans="1:9" x14ac:dyDescent="0.35">
      <c r="B199" s="2" t="s">
        <v>63</v>
      </c>
      <c r="C199" s="2" t="s">
        <v>16</v>
      </c>
      <c r="D199" s="2">
        <v>2481</v>
      </c>
      <c r="E199" s="2" t="s">
        <v>64</v>
      </c>
      <c r="F199" s="2" t="s">
        <v>242</v>
      </c>
      <c r="G199" s="2" t="s">
        <v>8</v>
      </c>
      <c r="H199" s="4">
        <v>-250</v>
      </c>
      <c r="I199" s="4">
        <v>-250</v>
      </c>
    </row>
    <row r="200" spans="1:9" x14ac:dyDescent="0.35">
      <c r="A200" s="174" t="s">
        <v>243</v>
      </c>
      <c r="H200" s="5">
        <v>-250</v>
      </c>
    </row>
    <row r="201" spans="1:9" x14ac:dyDescent="0.35">
      <c r="A201" s="174" t="s">
        <v>244</v>
      </c>
    </row>
    <row r="202" spans="1:9" x14ac:dyDescent="0.35">
      <c r="B202" s="2" t="s">
        <v>69</v>
      </c>
      <c r="C202" s="2" t="s">
        <v>10</v>
      </c>
      <c r="D202" s="2"/>
      <c r="E202" s="2" t="s">
        <v>70</v>
      </c>
      <c r="F202" s="2" t="s">
        <v>245</v>
      </c>
      <c r="G202" s="2" t="s">
        <v>8</v>
      </c>
      <c r="H202" s="4">
        <v>2166.89</v>
      </c>
      <c r="I202" s="4">
        <v>2166.89</v>
      </c>
    </row>
    <row r="203" spans="1:9" x14ac:dyDescent="0.35">
      <c r="B203" s="2" t="s">
        <v>72</v>
      </c>
      <c r="C203" s="2" t="s">
        <v>10</v>
      </c>
      <c r="D203" s="2"/>
      <c r="E203" s="2" t="s">
        <v>64</v>
      </c>
      <c r="F203" s="2" t="s">
        <v>246</v>
      </c>
      <c r="G203" s="2" t="s">
        <v>8</v>
      </c>
      <c r="H203" s="4">
        <v>250</v>
      </c>
      <c r="I203" s="4">
        <v>2416.89</v>
      </c>
    </row>
    <row r="204" spans="1:9" x14ac:dyDescent="0.35">
      <c r="B204" s="2" t="s">
        <v>72</v>
      </c>
      <c r="C204" s="2" t="s">
        <v>10</v>
      </c>
      <c r="D204" s="2"/>
      <c r="E204" s="2" t="s">
        <v>73</v>
      </c>
      <c r="F204" s="2" t="s">
        <v>247</v>
      </c>
      <c r="G204" s="2" t="s">
        <v>8</v>
      </c>
      <c r="H204" s="4">
        <v>1227.3499999999999</v>
      </c>
      <c r="I204" s="4">
        <v>3644.24</v>
      </c>
    </row>
    <row r="205" spans="1:9" x14ac:dyDescent="0.35">
      <c r="B205" s="2" t="s">
        <v>72</v>
      </c>
      <c r="C205" s="2" t="s">
        <v>10</v>
      </c>
      <c r="D205" s="2"/>
      <c r="E205" s="2" t="s">
        <v>73</v>
      </c>
      <c r="F205" s="2" t="s">
        <v>248</v>
      </c>
      <c r="G205" s="2" t="s">
        <v>8</v>
      </c>
      <c r="H205" s="4">
        <v>2979.99</v>
      </c>
      <c r="I205" s="4">
        <v>6624.23</v>
      </c>
    </row>
    <row r="206" spans="1:9" x14ac:dyDescent="0.35">
      <c r="B206" s="2" t="s">
        <v>86</v>
      </c>
      <c r="C206" s="2" t="s">
        <v>10</v>
      </c>
      <c r="D206" s="2"/>
      <c r="E206" s="2" t="s">
        <v>73</v>
      </c>
      <c r="F206" s="2" t="s">
        <v>249</v>
      </c>
      <c r="G206" s="2" t="s">
        <v>8</v>
      </c>
      <c r="H206" s="4">
        <v>51.18</v>
      </c>
      <c r="I206" s="4">
        <v>6675.41</v>
      </c>
    </row>
    <row r="207" spans="1:9" x14ac:dyDescent="0.35">
      <c r="A207" s="174" t="s">
        <v>250</v>
      </c>
      <c r="H207" s="5">
        <v>6675.41</v>
      </c>
    </row>
    <row r="208" spans="1:9" x14ac:dyDescent="0.35">
      <c r="A208" s="174" t="s">
        <v>251</v>
      </c>
      <c r="H208" s="5">
        <v>32.08</v>
      </c>
    </row>
    <row r="209" spans="1:9" x14ac:dyDescent="0.35">
      <c r="A209" s="174" t="s">
        <v>252</v>
      </c>
    </row>
    <row r="210" spans="1:9" x14ac:dyDescent="0.35">
      <c r="A210" s="174" t="s">
        <v>253</v>
      </c>
    </row>
    <row r="211" spans="1:9" x14ac:dyDescent="0.35">
      <c r="B211" s="2" t="s">
        <v>115</v>
      </c>
      <c r="C211" s="2" t="s">
        <v>16</v>
      </c>
      <c r="D211" s="2">
        <v>2503</v>
      </c>
      <c r="E211" s="2" t="s">
        <v>116</v>
      </c>
      <c r="F211" s="2" t="s">
        <v>254</v>
      </c>
      <c r="G211" s="2" t="s">
        <v>8</v>
      </c>
      <c r="H211" s="4">
        <v>-2250</v>
      </c>
      <c r="I211" s="4">
        <v>-2250</v>
      </c>
    </row>
    <row r="212" spans="1:9" x14ac:dyDescent="0.35">
      <c r="A212" s="174" t="s">
        <v>255</v>
      </c>
      <c r="H212" s="5">
        <v>-2250</v>
      </c>
    </row>
    <row r="213" spans="1:9" x14ac:dyDescent="0.35">
      <c r="A213" s="174" t="s">
        <v>256</v>
      </c>
    </row>
    <row r="214" spans="1:9" x14ac:dyDescent="0.35">
      <c r="B214" s="2" t="s">
        <v>111</v>
      </c>
      <c r="C214" s="2" t="s">
        <v>10</v>
      </c>
      <c r="D214" s="2"/>
      <c r="E214" s="2"/>
      <c r="F214" s="2" t="s">
        <v>257</v>
      </c>
      <c r="G214" s="2" t="s">
        <v>8</v>
      </c>
      <c r="H214" s="4">
        <v>3000</v>
      </c>
      <c r="I214" s="4">
        <v>3000</v>
      </c>
    </row>
    <row r="215" spans="1:9" x14ac:dyDescent="0.35">
      <c r="A215" s="174" t="s">
        <v>258</v>
      </c>
      <c r="H215" s="5">
        <v>3000</v>
      </c>
    </row>
    <row r="216" spans="1:9" x14ac:dyDescent="0.35">
      <c r="A216" s="174" t="s">
        <v>259</v>
      </c>
      <c r="H216" s="5">
        <v>750</v>
      </c>
    </row>
    <row r="217" spans="1:9" x14ac:dyDescent="0.35">
      <c r="A217" s="174" t="s">
        <v>260</v>
      </c>
    </row>
    <row r="218" spans="1:9" x14ac:dyDescent="0.35">
      <c r="A218" s="174" t="s">
        <v>261</v>
      </c>
    </row>
    <row r="219" spans="1:9" x14ac:dyDescent="0.35">
      <c r="B219" s="2" t="s">
        <v>176</v>
      </c>
      <c r="C219" s="2" t="s">
        <v>10</v>
      </c>
      <c r="D219" s="2"/>
      <c r="E219" s="2"/>
      <c r="F219" s="2" t="s">
        <v>262</v>
      </c>
      <c r="G219" s="2" t="s">
        <v>8</v>
      </c>
      <c r="H219" s="4">
        <v>10.5</v>
      </c>
      <c r="I219" s="4">
        <v>10.5</v>
      </c>
    </row>
    <row r="220" spans="1:9" x14ac:dyDescent="0.35">
      <c r="A220" s="174" t="s">
        <v>263</v>
      </c>
      <c r="H220" s="5">
        <v>10.5</v>
      </c>
    </row>
    <row r="221" spans="1:9" x14ac:dyDescent="0.35">
      <c r="A221" s="174" t="s">
        <v>264</v>
      </c>
    </row>
    <row r="222" spans="1:9" x14ac:dyDescent="0.35">
      <c r="B222" s="2" t="s">
        <v>137</v>
      </c>
      <c r="C222" s="2" t="s">
        <v>10</v>
      </c>
      <c r="D222" s="2"/>
      <c r="E222" s="2" t="s">
        <v>116</v>
      </c>
      <c r="F222" s="2" t="s">
        <v>265</v>
      </c>
      <c r="G222" s="2" t="s">
        <v>8</v>
      </c>
      <c r="H222" s="4">
        <v>566.55999999999995</v>
      </c>
      <c r="I222" s="4">
        <v>566.55999999999995</v>
      </c>
    </row>
    <row r="223" spans="1:9" x14ac:dyDescent="0.35">
      <c r="A223" s="174" t="s">
        <v>266</v>
      </c>
      <c r="H223" s="5">
        <v>566.55999999999995</v>
      </c>
    </row>
    <row r="224" spans="1:9" x14ac:dyDescent="0.35">
      <c r="A224" s="174" t="s">
        <v>267</v>
      </c>
      <c r="H224" s="5">
        <v>577.05999999999995</v>
      </c>
    </row>
    <row r="225" spans="1:9" x14ac:dyDescent="0.35">
      <c r="A225" s="174" t="s">
        <v>268</v>
      </c>
    </row>
    <row r="226" spans="1:9" x14ac:dyDescent="0.35">
      <c r="A226" s="174" t="s">
        <v>269</v>
      </c>
    </row>
    <row r="227" spans="1:9" x14ac:dyDescent="0.35">
      <c r="B227" s="2" t="s">
        <v>25</v>
      </c>
      <c r="C227" s="2" t="s">
        <v>10</v>
      </c>
      <c r="D227" s="2"/>
      <c r="E227" s="2"/>
      <c r="F227" s="2" t="s">
        <v>270</v>
      </c>
      <c r="G227" s="2" t="s">
        <v>8</v>
      </c>
      <c r="H227" s="4">
        <v>75</v>
      </c>
      <c r="I227" s="4">
        <v>75</v>
      </c>
    </row>
    <row r="228" spans="1:9" x14ac:dyDescent="0.35">
      <c r="B228" s="2" t="s">
        <v>26</v>
      </c>
      <c r="C228" s="2" t="s">
        <v>10</v>
      </c>
      <c r="D228" s="2"/>
      <c r="E228" s="2"/>
      <c r="F228" s="2" t="s">
        <v>271</v>
      </c>
      <c r="G228" s="2" t="s">
        <v>8</v>
      </c>
      <c r="H228" s="4">
        <v>500</v>
      </c>
      <c r="I228" s="4">
        <v>575</v>
      </c>
    </row>
    <row r="229" spans="1:9" x14ac:dyDescent="0.35">
      <c r="B229" s="2" t="s">
        <v>27</v>
      </c>
      <c r="C229" s="2" t="s">
        <v>10</v>
      </c>
      <c r="D229" s="2"/>
      <c r="E229" s="2"/>
      <c r="F229" s="2" t="s">
        <v>272</v>
      </c>
      <c r="G229" s="2" t="s">
        <v>8</v>
      </c>
      <c r="H229" s="4">
        <v>160</v>
      </c>
      <c r="I229" s="4">
        <v>735</v>
      </c>
    </row>
    <row r="230" spans="1:9" x14ac:dyDescent="0.35">
      <c r="B230" s="2" t="s">
        <v>32</v>
      </c>
      <c r="C230" s="2" t="s">
        <v>10</v>
      </c>
      <c r="D230" s="2"/>
      <c r="E230" s="2"/>
      <c r="F230" s="2" t="s">
        <v>273</v>
      </c>
      <c r="G230" s="2" t="s">
        <v>8</v>
      </c>
      <c r="H230" s="4">
        <v>500</v>
      </c>
      <c r="I230" s="4">
        <v>1235</v>
      </c>
    </row>
    <row r="231" spans="1:9" x14ac:dyDescent="0.35">
      <c r="B231" s="2" t="s">
        <v>36</v>
      </c>
      <c r="C231" s="2" t="s">
        <v>10</v>
      </c>
      <c r="D231" s="2"/>
      <c r="E231" s="2"/>
      <c r="F231" s="2" t="s">
        <v>274</v>
      </c>
      <c r="G231" s="2" t="s">
        <v>8</v>
      </c>
      <c r="H231" s="4">
        <v>250</v>
      </c>
      <c r="I231" s="4">
        <v>1485</v>
      </c>
    </row>
    <row r="232" spans="1:9" x14ac:dyDescent="0.35">
      <c r="B232" s="2" t="s">
        <v>36</v>
      </c>
      <c r="C232" s="2" t="s">
        <v>10</v>
      </c>
      <c r="D232" s="2"/>
      <c r="E232" s="2"/>
      <c r="F232" s="2" t="s">
        <v>270</v>
      </c>
      <c r="G232" s="2" t="s">
        <v>8</v>
      </c>
      <c r="H232" s="4">
        <v>100</v>
      </c>
      <c r="I232" s="4">
        <v>1585</v>
      </c>
    </row>
    <row r="233" spans="1:9" x14ac:dyDescent="0.35">
      <c r="B233" s="2" t="s">
        <v>44</v>
      </c>
      <c r="C233" s="2" t="s">
        <v>10</v>
      </c>
      <c r="D233" s="2"/>
      <c r="E233" s="2"/>
      <c r="F233" s="2" t="s">
        <v>275</v>
      </c>
      <c r="G233" s="2" t="s">
        <v>8</v>
      </c>
      <c r="H233" s="4">
        <v>220</v>
      </c>
      <c r="I233" s="4">
        <v>1805</v>
      </c>
    </row>
    <row r="234" spans="1:9" x14ac:dyDescent="0.35">
      <c r="B234" s="2" t="s">
        <v>45</v>
      </c>
      <c r="C234" s="2" t="s">
        <v>10</v>
      </c>
      <c r="D234" s="2"/>
      <c r="E234" s="2"/>
      <c r="F234" s="2" t="s">
        <v>276</v>
      </c>
      <c r="G234" s="2" t="s">
        <v>8</v>
      </c>
      <c r="H234" s="4">
        <v>25</v>
      </c>
      <c r="I234" s="4">
        <v>1830</v>
      </c>
    </row>
    <row r="235" spans="1:9" x14ac:dyDescent="0.35">
      <c r="B235" s="2" t="s">
        <v>45</v>
      </c>
      <c r="C235" s="2" t="s">
        <v>10</v>
      </c>
      <c r="D235" s="2"/>
      <c r="E235" s="2"/>
      <c r="F235" s="2" t="s">
        <v>277</v>
      </c>
      <c r="G235" s="2" t="s">
        <v>8</v>
      </c>
      <c r="H235" s="4">
        <v>13425</v>
      </c>
      <c r="I235" s="4">
        <v>15255</v>
      </c>
    </row>
    <row r="236" spans="1:9" x14ac:dyDescent="0.35">
      <c r="B236" s="2" t="s">
        <v>61</v>
      </c>
      <c r="C236" s="2" t="s">
        <v>10</v>
      </c>
      <c r="D236" s="2"/>
      <c r="E236" s="2"/>
      <c r="F236" s="2" t="s">
        <v>278</v>
      </c>
      <c r="G236" s="2" t="s">
        <v>8</v>
      </c>
      <c r="H236" s="4">
        <v>100</v>
      </c>
      <c r="I236" s="4">
        <v>15355</v>
      </c>
    </row>
    <row r="237" spans="1:9" x14ac:dyDescent="0.35">
      <c r="B237" s="2" t="s">
        <v>68</v>
      </c>
      <c r="C237" s="2" t="s">
        <v>10</v>
      </c>
      <c r="D237" s="2"/>
      <c r="E237" s="2"/>
      <c r="F237" s="2" t="s">
        <v>279</v>
      </c>
      <c r="G237" s="2" t="s">
        <v>8</v>
      </c>
      <c r="H237" s="4">
        <v>225</v>
      </c>
      <c r="I237" s="4">
        <v>15580</v>
      </c>
    </row>
    <row r="238" spans="1:9" x14ac:dyDescent="0.35">
      <c r="B238" s="2" t="s">
        <v>69</v>
      </c>
      <c r="C238" s="2" t="s">
        <v>10</v>
      </c>
      <c r="D238" s="2"/>
      <c r="E238" s="2"/>
      <c r="F238" s="2" t="s">
        <v>278</v>
      </c>
      <c r="G238" s="2" t="s">
        <v>8</v>
      </c>
      <c r="H238" s="4">
        <v>75</v>
      </c>
      <c r="I238" s="4">
        <v>15655</v>
      </c>
    </row>
    <row r="239" spans="1:9" x14ac:dyDescent="0.35">
      <c r="B239" s="2" t="s">
        <v>74</v>
      </c>
      <c r="C239" s="2" t="s">
        <v>10</v>
      </c>
      <c r="D239" s="2"/>
      <c r="E239" s="2"/>
      <c r="F239" s="2" t="s">
        <v>280</v>
      </c>
      <c r="G239" s="2" t="s">
        <v>8</v>
      </c>
      <c r="H239" s="4">
        <v>1320</v>
      </c>
      <c r="I239" s="4">
        <v>16975</v>
      </c>
    </row>
    <row r="240" spans="1:9" x14ac:dyDescent="0.35">
      <c r="B240" s="2" t="s">
        <v>91</v>
      </c>
      <c r="C240" s="2" t="s">
        <v>10</v>
      </c>
      <c r="D240" s="2"/>
      <c r="E240" s="2"/>
      <c r="F240" s="2" t="s">
        <v>281</v>
      </c>
      <c r="G240" s="2" t="s">
        <v>8</v>
      </c>
      <c r="H240" s="4">
        <v>1705</v>
      </c>
      <c r="I240" s="4">
        <v>18680</v>
      </c>
    </row>
    <row r="241" spans="1:9" x14ac:dyDescent="0.35">
      <c r="B241" s="2" t="s">
        <v>91</v>
      </c>
      <c r="C241" s="2" t="s">
        <v>10</v>
      </c>
      <c r="D241" s="2"/>
      <c r="E241" s="2"/>
      <c r="F241" s="2" t="s">
        <v>282</v>
      </c>
      <c r="G241" s="2" t="s">
        <v>8</v>
      </c>
      <c r="H241" s="4">
        <v>1175</v>
      </c>
      <c r="I241" s="4">
        <v>19855</v>
      </c>
    </row>
    <row r="242" spans="1:9" x14ac:dyDescent="0.35">
      <c r="B242" s="2" t="s">
        <v>95</v>
      </c>
      <c r="C242" s="2" t="s">
        <v>10</v>
      </c>
      <c r="D242" s="2"/>
      <c r="E242" s="2"/>
      <c r="F242" s="2" t="s">
        <v>283</v>
      </c>
      <c r="G242" s="2" t="s">
        <v>8</v>
      </c>
      <c r="H242" s="4">
        <v>200</v>
      </c>
      <c r="I242" s="4">
        <v>20055</v>
      </c>
    </row>
    <row r="243" spans="1:9" x14ac:dyDescent="0.35">
      <c r="B243" s="2" t="s">
        <v>110</v>
      </c>
      <c r="C243" s="2" t="s">
        <v>10</v>
      </c>
      <c r="D243" s="2"/>
      <c r="E243" s="2"/>
      <c r="F243" s="2" t="s">
        <v>284</v>
      </c>
      <c r="G243" s="2" t="s">
        <v>8</v>
      </c>
      <c r="H243" s="4">
        <v>385</v>
      </c>
      <c r="I243" s="4">
        <v>20440</v>
      </c>
    </row>
    <row r="244" spans="1:9" x14ac:dyDescent="0.35">
      <c r="B244" s="2" t="s">
        <v>111</v>
      </c>
      <c r="C244" s="2" t="s">
        <v>10</v>
      </c>
      <c r="D244" s="2"/>
      <c r="E244" s="2"/>
      <c r="F244" s="2" t="s">
        <v>283</v>
      </c>
      <c r="G244" s="2" t="s">
        <v>8</v>
      </c>
      <c r="H244" s="4">
        <v>140</v>
      </c>
      <c r="I244" s="4">
        <v>20580</v>
      </c>
    </row>
    <row r="245" spans="1:9" x14ac:dyDescent="0.35">
      <c r="B245" s="2" t="s">
        <v>125</v>
      </c>
      <c r="C245" s="2" t="s">
        <v>10</v>
      </c>
      <c r="D245" s="2"/>
      <c r="E245" s="2"/>
      <c r="F245" s="2" t="s">
        <v>285</v>
      </c>
      <c r="G245" s="2" t="s">
        <v>8</v>
      </c>
      <c r="H245" s="4">
        <v>10</v>
      </c>
      <c r="I245" s="4">
        <v>20590</v>
      </c>
    </row>
    <row r="246" spans="1:9" x14ac:dyDescent="0.35">
      <c r="B246" s="2" t="s">
        <v>154</v>
      </c>
      <c r="C246" s="2" t="s">
        <v>10</v>
      </c>
      <c r="D246" s="2"/>
      <c r="E246" s="2"/>
      <c r="F246" s="2" t="s">
        <v>286</v>
      </c>
      <c r="G246" s="2" t="s">
        <v>8</v>
      </c>
      <c r="H246" s="4">
        <v>100</v>
      </c>
      <c r="I246" s="4">
        <v>20690</v>
      </c>
    </row>
    <row r="247" spans="1:9" x14ac:dyDescent="0.35">
      <c r="A247" s="174" t="s">
        <v>287</v>
      </c>
      <c r="H247" s="5">
        <v>20690</v>
      </c>
    </row>
    <row r="248" spans="1:9" x14ac:dyDescent="0.35">
      <c r="A248" s="174" t="s">
        <v>288</v>
      </c>
    </row>
    <row r="249" spans="1:9" x14ac:dyDescent="0.35">
      <c r="B249" s="2" t="s">
        <v>86</v>
      </c>
      <c r="C249" s="2" t="s">
        <v>10</v>
      </c>
      <c r="D249" s="2"/>
      <c r="E249" s="2" t="s">
        <v>88</v>
      </c>
      <c r="F249" s="2" t="s">
        <v>289</v>
      </c>
      <c r="G249" s="2" t="s">
        <v>8</v>
      </c>
      <c r="H249" s="4">
        <v>50</v>
      </c>
      <c r="I249" s="4">
        <v>50</v>
      </c>
    </row>
    <row r="250" spans="1:9" x14ac:dyDescent="0.35">
      <c r="B250" s="2" t="s">
        <v>119</v>
      </c>
      <c r="C250" s="2" t="s">
        <v>10</v>
      </c>
      <c r="D250" s="2"/>
      <c r="E250" s="2"/>
      <c r="F250" s="2" t="s">
        <v>290</v>
      </c>
      <c r="G250" s="2" t="s">
        <v>8</v>
      </c>
      <c r="H250" s="4">
        <v>40.020000000000003</v>
      </c>
      <c r="I250" s="4">
        <v>90.02</v>
      </c>
    </row>
    <row r="251" spans="1:9" x14ac:dyDescent="0.35">
      <c r="B251" s="2" t="s">
        <v>191</v>
      </c>
      <c r="C251" s="2" t="s">
        <v>10</v>
      </c>
      <c r="D251" s="2"/>
      <c r="E251" s="2"/>
      <c r="F251" s="2" t="s">
        <v>291</v>
      </c>
      <c r="G251" s="2" t="s">
        <v>8</v>
      </c>
      <c r="H251" s="4">
        <v>100</v>
      </c>
      <c r="I251" s="4">
        <v>190.02</v>
      </c>
    </row>
    <row r="252" spans="1:9" x14ac:dyDescent="0.35">
      <c r="A252" s="174" t="s">
        <v>292</v>
      </c>
      <c r="H252" s="5">
        <v>190.02</v>
      </c>
    </row>
    <row r="253" spans="1:9" x14ac:dyDescent="0.35">
      <c r="A253" s="174" t="s">
        <v>293</v>
      </c>
      <c r="H253" s="5">
        <v>20880.02</v>
      </c>
    </row>
    <row r="254" spans="1:9" x14ac:dyDescent="0.35">
      <c r="A254" s="174" t="s">
        <v>294</v>
      </c>
    </row>
    <row r="255" spans="1:9" x14ac:dyDescent="0.35">
      <c r="A255" s="174" t="s">
        <v>295</v>
      </c>
    </row>
    <row r="256" spans="1:9" x14ac:dyDescent="0.35">
      <c r="B256" s="2" t="s">
        <v>45</v>
      </c>
      <c r="C256" s="2" t="s">
        <v>16</v>
      </c>
      <c r="D256" s="2">
        <v>2475</v>
      </c>
      <c r="E256" s="2" t="s">
        <v>46</v>
      </c>
      <c r="F256" s="2" t="s">
        <v>296</v>
      </c>
      <c r="G256" s="2" t="s">
        <v>8</v>
      </c>
      <c r="H256" s="4">
        <v>-443</v>
      </c>
      <c r="I256" s="4">
        <v>-443</v>
      </c>
    </row>
    <row r="257" spans="1:9" x14ac:dyDescent="0.35">
      <c r="B257" s="2" t="s">
        <v>45</v>
      </c>
      <c r="C257" s="2" t="s">
        <v>16</v>
      </c>
      <c r="D257" s="2">
        <v>2474</v>
      </c>
      <c r="E257" s="2" t="s">
        <v>51</v>
      </c>
      <c r="F257" s="2" t="s">
        <v>297</v>
      </c>
      <c r="G257" s="2" t="s">
        <v>8</v>
      </c>
      <c r="H257" s="4">
        <v>-1882.75</v>
      </c>
      <c r="I257" s="4">
        <v>-2325.75</v>
      </c>
    </row>
    <row r="258" spans="1:9" x14ac:dyDescent="0.35">
      <c r="B258" s="2" t="s">
        <v>114</v>
      </c>
      <c r="C258" s="2" t="s">
        <v>16</v>
      </c>
      <c r="D258" s="2">
        <v>2502</v>
      </c>
      <c r="E258" s="2" t="s">
        <v>46</v>
      </c>
      <c r="F258" s="2" t="s">
        <v>298</v>
      </c>
      <c r="G258" s="2" t="s">
        <v>8</v>
      </c>
      <c r="H258" s="4">
        <v>-163</v>
      </c>
      <c r="I258" s="4">
        <v>-2488.75</v>
      </c>
    </row>
    <row r="259" spans="1:9" x14ac:dyDescent="0.35">
      <c r="B259" s="2" t="s">
        <v>114</v>
      </c>
      <c r="C259" s="2" t="s">
        <v>16</v>
      </c>
      <c r="D259" s="2">
        <v>2501</v>
      </c>
      <c r="E259" s="2" t="s">
        <v>51</v>
      </c>
      <c r="F259" s="2" t="s">
        <v>299</v>
      </c>
      <c r="G259" s="2" t="s">
        <v>8</v>
      </c>
      <c r="H259" s="4">
        <v>-692.75</v>
      </c>
      <c r="I259" s="4">
        <v>-3181.5</v>
      </c>
    </row>
    <row r="260" spans="1:9" x14ac:dyDescent="0.35">
      <c r="A260" s="174" t="s">
        <v>300</v>
      </c>
      <c r="H260" s="5">
        <v>-3181.5</v>
      </c>
    </row>
    <row r="261" spans="1:9" x14ac:dyDescent="0.35">
      <c r="A261" s="174" t="s">
        <v>301</v>
      </c>
    </row>
    <row r="262" spans="1:9" x14ac:dyDescent="0.35">
      <c r="B262" s="2" t="s">
        <v>25</v>
      </c>
      <c r="C262" s="2" t="s">
        <v>10</v>
      </c>
      <c r="D262" s="2"/>
      <c r="E262" s="2"/>
      <c r="F262" s="2" t="s">
        <v>302</v>
      </c>
      <c r="G262" s="2" t="s">
        <v>8</v>
      </c>
      <c r="H262" s="4">
        <v>100</v>
      </c>
      <c r="I262" s="4">
        <v>100</v>
      </c>
    </row>
    <row r="263" spans="1:9" x14ac:dyDescent="0.35">
      <c r="B263" s="2" t="s">
        <v>26</v>
      </c>
      <c r="C263" s="2" t="s">
        <v>10</v>
      </c>
      <c r="D263" s="2"/>
      <c r="E263" s="2"/>
      <c r="F263" s="2" t="s">
        <v>274</v>
      </c>
      <c r="G263" s="2" t="s">
        <v>8</v>
      </c>
      <c r="H263" s="4">
        <v>100</v>
      </c>
      <c r="I263" s="4">
        <v>200</v>
      </c>
    </row>
    <row r="264" spans="1:9" x14ac:dyDescent="0.35">
      <c r="B264" s="2" t="s">
        <v>27</v>
      </c>
      <c r="C264" s="2" t="s">
        <v>10</v>
      </c>
      <c r="D264" s="2"/>
      <c r="E264" s="2"/>
      <c r="F264" s="2" t="s">
        <v>303</v>
      </c>
      <c r="G264" s="2" t="s">
        <v>8</v>
      </c>
      <c r="H264" s="4">
        <v>135</v>
      </c>
      <c r="I264" s="4">
        <v>335</v>
      </c>
    </row>
    <row r="265" spans="1:9" x14ac:dyDescent="0.35">
      <c r="B265" s="2" t="s">
        <v>32</v>
      </c>
      <c r="C265" s="2" t="s">
        <v>10</v>
      </c>
      <c r="D265" s="2"/>
      <c r="E265" s="2"/>
      <c r="F265" s="2" t="s">
        <v>304</v>
      </c>
      <c r="G265" s="2" t="s">
        <v>8</v>
      </c>
      <c r="H265" s="4">
        <v>125</v>
      </c>
      <c r="I265" s="4">
        <v>460</v>
      </c>
    </row>
    <row r="266" spans="1:9" x14ac:dyDescent="0.35">
      <c r="B266" s="2" t="s">
        <v>36</v>
      </c>
      <c r="C266" s="2" t="s">
        <v>10</v>
      </c>
      <c r="D266" s="2"/>
      <c r="E266" s="2"/>
      <c r="F266" s="2" t="s">
        <v>305</v>
      </c>
      <c r="G266" s="2" t="s">
        <v>8</v>
      </c>
      <c r="H266" s="4">
        <v>25</v>
      </c>
      <c r="I266" s="4">
        <v>485</v>
      </c>
    </row>
    <row r="267" spans="1:9" x14ac:dyDescent="0.35">
      <c r="B267" s="2" t="s">
        <v>36</v>
      </c>
      <c r="C267" s="2" t="s">
        <v>10</v>
      </c>
      <c r="D267" s="2"/>
      <c r="E267" s="2"/>
      <c r="F267" s="2" t="s">
        <v>306</v>
      </c>
      <c r="G267" s="2" t="s">
        <v>8</v>
      </c>
      <c r="H267" s="4">
        <v>190</v>
      </c>
      <c r="I267" s="4">
        <v>675</v>
      </c>
    </row>
    <row r="268" spans="1:9" x14ac:dyDescent="0.35">
      <c r="B268" s="2" t="s">
        <v>44</v>
      </c>
      <c r="C268" s="2" t="s">
        <v>10</v>
      </c>
      <c r="D268" s="2"/>
      <c r="E268" s="2"/>
      <c r="F268" s="2" t="s">
        <v>307</v>
      </c>
      <c r="G268" s="2" t="s">
        <v>8</v>
      </c>
      <c r="H268" s="4">
        <v>200</v>
      </c>
      <c r="I268" s="4">
        <v>875</v>
      </c>
    </row>
    <row r="269" spans="1:9" x14ac:dyDescent="0.35">
      <c r="B269" s="2" t="s">
        <v>45</v>
      </c>
      <c r="C269" s="2" t="s">
        <v>10</v>
      </c>
      <c r="D269" s="2"/>
      <c r="E269" s="2"/>
      <c r="F269" s="2" t="s">
        <v>308</v>
      </c>
      <c r="G269" s="2" t="s">
        <v>8</v>
      </c>
      <c r="H269" s="4">
        <v>25</v>
      </c>
      <c r="I269" s="4">
        <v>900</v>
      </c>
    </row>
    <row r="270" spans="1:9" x14ac:dyDescent="0.35">
      <c r="B270" s="2" t="s">
        <v>45</v>
      </c>
      <c r="C270" s="2" t="s">
        <v>10</v>
      </c>
      <c r="D270" s="2"/>
      <c r="E270" s="2"/>
      <c r="F270" s="2" t="s">
        <v>309</v>
      </c>
      <c r="G270" s="2" t="s">
        <v>8</v>
      </c>
      <c r="H270" s="4">
        <v>4600</v>
      </c>
      <c r="I270" s="4">
        <v>5500</v>
      </c>
    </row>
    <row r="271" spans="1:9" x14ac:dyDescent="0.35">
      <c r="B271" s="2" t="s">
        <v>61</v>
      </c>
      <c r="C271" s="2" t="s">
        <v>10</v>
      </c>
      <c r="D271" s="2"/>
      <c r="E271" s="2"/>
      <c r="F271" s="2" t="s">
        <v>279</v>
      </c>
      <c r="G271" s="2" t="s">
        <v>8</v>
      </c>
      <c r="H271" s="4">
        <v>50</v>
      </c>
      <c r="I271" s="4">
        <v>5550</v>
      </c>
    </row>
    <row r="272" spans="1:9" x14ac:dyDescent="0.35">
      <c r="B272" s="2" t="s">
        <v>68</v>
      </c>
      <c r="C272" s="2" t="s">
        <v>10</v>
      </c>
      <c r="D272" s="2"/>
      <c r="E272" s="2"/>
      <c r="F272" s="2" t="s">
        <v>310</v>
      </c>
      <c r="G272" s="2" t="s">
        <v>8</v>
      </c>
      <c r="H272" s="4">
        <v>60</v>
      </c>
      <c r="I272" s="4">
        <v>5610</v>
      </c>
    </row>
    <row r="273" spans="1:9" x14ac:dyDescent="0.35">
      <c r="B273" s="2" t="s">
        <v>69</v>
      </c>
      <c r="C273" s="2" t="s">
        <v>10</v>
      </c>
      <c r="D273" s="2"/>
      <c r="E273" s="2"/>
      <c r="F273" s="2" t="s">
        <v>278</v>
      </c>
      <c r="G273" s="2" t="s">
        <v>8</v>
      </c>
      <c r="H273" s="4">
        <v>25</v>
      </c>
      <c r="I273" s="4">
        <v>5635</v>
      </c>
    </row>
    <row r="274" spans="1:9" x14ac:dyDescent="0.35">
      <c r="B274" s="2" t="s">
        <v>74</v>
      </c>
      <c r="C274" s="2" t="s">
        <v>10</v>
      </c>
      <c r="D274" s="2"/>
      <c r="E274" s="2"/>
      <c r="F274" s="2" t="s">
        <v>311</v>
      </c>
      <c r="G274" s="2" t="s">
        <v>8</v>
      </c>
      <c r="H274" s="4">
        <v>550</v>
      </c>
      <c r="I274" s="4">
        <v>6185</v>
      </c>
    </row>
    <row r="275" spans="1:9" x14ac:dyDescent="0.35">
      <c r="B275" s="2" t="s">
        <v>86</v>
      </c>
      <c r="C275" s="2" t="s">
        <v>10</v>
      </c>
      <c r="D275" s="2"/>
      <c r="E275" s="2"/>
      <c r="F275" s="2" t="s">
        <v>312</v>
      </c>
      <c r="G275" s="2" t="s">
        <v>8</v>
      </c>
      <c r="H275" s="4">
        <v>20</v>
      </c>
      <c r="I275" s="4">
        <v>6205</v>
      </c>
    </row>
    <row r="276" spans="1:9" x14ac:dyDescent="0.35">
      <c r="B276" s="2" t="s">
        <v>91</v>
      </c>
      <c r="C276" s="2" t="s">
        <v>10</v>
      </c>
      <c r="D276" s="2"/>
      <c r="E276" s="2"/>
      <c r="F276" s="2" t="s">
        <v>313</v>
      </c>
      <c r="G276" s="2" t="s">
        <v>8</v>
      </c>
      <c r="H276" s="4">
        <v>500</v>
      </c>
      <c r="I276" s="4">
        <v>6705</v>
      </c>
    </row>
    <row r="277" spans="1:9" x14ac:dyDescent="0.35">
      <c r="B277" s="2" t="s">
        <v>91</v>
      </c>
      <c r="C277" s="2" t="s">
        <v>10</v>
      </c>
      <c r="D277" s="2"/>
      <c r="E277" s="2"/>
      <c r="F277" s="2" t="s">
        <v>314</v>
      </c>
      <c r="G277" s="2" t="s">
        <v>8</v>
      </c>
      <c r="H277" s="4">
        <v>400</v>
      </c>
      <c r="I277" s="4">
        <v>7105</v>
      </c>
    </row>
    <row r="278" spans="1:9" x14ac:dyDescent="0.35">
      <c r="B278" s="2" t="s">
        <v>95</v>
      </c>
      <c r="C278" s="2" t="s">
        <v>10</v>
      </c>
      <c r="D278" s="2"/>
      <c r="E278" s="2"/>
      <c r="F278" s="2" t="s">
        <v>278</v>
      </c>
      <c r="G278" s="2" t="s">
        <v>8</v>
      </c>
      <c r="H278" s="4">
        <v>25</v>
      </c>
      <c r="I278" s="4">
        <v>7130</v>
      </c>
    </row>
    <row r="279" spans="1:9" x14ac:dyDescent="0.35">
      <c r="B279" s="2" t="s">
        <v>110</v>
      </c>
      <c r="C279" s="2" t="s">
        <v>10</v>
      </c>
      <c r="D279" s="2"/>
      <c r="E279" s="2"/>
      <c r="F279" s="2" t="s">
        <v>315</v>
      </c>
      <c r="G279" s="2" t="s">
        <v>8</v>
      </c>
      <c r="H279" s="4">
        <v>270</v>
      </c>
      <c r="I279" s="4">
        <v>7400</v>
      </c>
    </row>
    <row r="280" spans="1:9" x14ac:dyDescent="0.35">
      <c r="B280" s="2" t="s">
        <v>111</v>
      </c>
      <c r="C280" s="2" t="s">
        <v>10</v>
      </c>
      <c r="D280" s="2"/>
      <c r="E280" s="2"/>
      <c r="F280" s="2" t="s">
        <v>316</v>
      </c>
      <c r="G280" s="2" t="s">
        <v>8</v>
      </c>
      <c r="H280" s="4">
        <v>95</v>
      </c>
      <c r="I280" s="4">
        <v>7495</v>
      </c>
    </row>
    <row r="281" spans="1:9" x14ac:dyDescent="0.35">
      <c r="B281" s="2" t="s">
        <v>119</v>
      </c>
      <c r="C281" s="2" t="s">
        <v>10</v>
      </c>
      <c r="D281" s="2"/>
      <c r="E281" s="2"/>
      <c r="F281" s="2" t="s">
        <v>317</v>
      </c>
      <c r="G281" s="2" t="s">
        <v>8</v>
      </c>
      <c r="H281" s="4">
        <v>10</v>
      </c>
      <c r="I281" s="4">
        <v>7505</v>
      </c>
    </row>
    <row r="282" spans="1:9" x14ac:dyDescent="0.35">
      <c r="B282" s="2" t="s">
        <v>125</v>
      </c>
      <c r="C282" s="2" t="s">
        <v>10</v>
      </c>
      <c r="D282" s="2"/>
      <c r="E282" s="2"/>
      <c r="F282" s="2" t="s">
        <v>317</v>
      </c>
      <c r="G282" s="2" t="s">
        <v>8</v>
      </c>
      <c r="H282" s="4">
        <v>10</v>
      </c>
      <c r="I282" s="4">
        <v>7515</v>
      </c>
    </row>
    <row r="283" spans="1:9" x14ac:dyDescent="0.35">
      <c r="B283" s="2" t="s">
        <v>128</v>
      </c>
      <c r="C283" s="2" t="s">
        <v>10</v>
      </c>
      <c r="D283" s="2"/>
      <c r="E283" s="2"/>
      <c r="F283" s="2" t="s">
        <v>318</v>
      </c>
      <c r="G283" s="2" t="s">
        <v>8</v>
      </c>
      <c r="H283" s="4">
        <v>10</v>
      </c>
      <c r="I283" s="4">
        <v>7525</v>
      </c>
    </row>
    <row r="284" spans="1:9" x14ac:dyDescent="0.35">
      <c r="B284" s="2" t="s">
        <v>154</v>
      </c>
      <c r="C284" s="2" t="s">
        <v>10</v>
      </c>
      <c r="D284" s="2"/>
      <c r="E284" s="2"/>
      <c r="F284" s="2" t="s">
        <v>319</v>
      </c>
      <c r="G284" s="2" t="s">
        <v>8</v>
      </c>
      <c r="H284" s="4">
        <v>100</v>
      </c>
      <c r="I284" s="4">
        <v>7625</v>
      </c>
    </row>
    <row r="285" spans="1:9" x14ac:dyDescent="0.35">
      <c r="A285" s="174" t="s">
        <v>320</v>
      </c>
      <c r="H285" s="5">
        <v>7625</v>
      </c>
    </row>
    <row r="286" spans="1:9" x14ac:dyDescent="0.35">
      <c r="A286" s="174" t="s">
        <v>321</v>
      </c>
      <c r="H286" s="5">
        <v>4443.5</v>
      </c>
    </row>
    <row r="287" spans="1:9" x14ac:dyDescent="0.35">
      <c r="A287" s="174" t="s">
        <v>152</v>
      </c>
    </row>
    <row r="288" spans="1:9" x14ac:dyDescent="0.35">
      <c r="B288" s="2" t="s">
        <v>151</v>
      </c>
      <c r="C288" s="2" t="s">
        <v>10</v>
      </c>
      <c r="D288" s="2"/>
      <c r="E288" s="2" t="s">
        <v>13</v>
      </c>
      <c r="F288" s="2" t="s">
        <v>322</v>
      </c>
      <c r="G288" s="2" t="s">
        <v>8</v>
      </c>
      <c r="H288" s="4">
        <v>29.75</v>
      </c>
      <c r="I288" s="4">
        <v>29.75</v>
      </c>
    </row>
    <row r="289" spans="1:9" x14ac:dyDescent="0.35">
      <c r="A289" s="174" t="s">
        <v>323</v>
      </c>
      <c r="H289" s="5">
        <v>29.75</v>
      </c>
    </row>
    <row r="290" spans="1:9" x14ac:dyDescent="0.35">
      <c r="A290" s="174" t="s">
        <v>324</v>
      </c>
    </row>
    <row r="291" spans="1:9" x14ac:dyDescent="0.35">
      <c r="B291" s="2" t="s">
        <v>12</v>
      </c>
      <c r="C291" s="2" t="s">
        <v>10</v>
      </c>
      <c r="D291" s="2"/>
      <c r="E291" s="2" t="s">
        <v>13</v>
      </c>
      <c r="F291" s="2" t="s">
        <v>325</v>
      </c>
      <c r="G291" s="2" t="s">
        <v>8</v>
      </c>
      <c r="H291" s="4">
        <v>12.23</v>
      </c>
      <c r="I291" s="4">
        <v>12.23</v>
      </c>
    </row>
    <row r="292" spans="1:9" x14ac:dyDescent="0.35">
      <c r="B292" s="2" t="s">
        <v>81</v>
      </c>
      <c r="C292" s="2" t="s">
        <v>10</v>
      </c>
      <c r="D292" s="2"/>
      <c r="E292" s="2" t="s">
        <v>13</v>
      </c>
      <c r="F292" s="2" t="s">
        <v>326</v>
      </c>
      <c r="G292" s="2" t="s">
        <v>8</v>
      </c>
      <c r="H292" s="4">
        <v>5.08</v>
      </c>
      <c r="I292" s="4">
        <v>17.309999999999999</v>
      </c>
    </row>
    <row r="293" spans="1:9" x14ac:dyDescent="0.35">
      <c r="B293" s="2" t="s">
        <v>181</v>
      </c>
      <c r="C293" s="2" t="s">
        <v>10</v>
      </c>
      <c r="D293" s="2"/>
      <c r="E293" s="2" t="s">
        <v>13</v>
      </c>
      <c r="F293" s="2" t="s">
        <v>327</v>
      </c>
      <c r="G293" s="2" t="s">
        <v>8</v>
      </c>
      <c r="H293" s="4">
        <v>12.55</v>
      </c>
      <c r="I293" s="4">
        <v>29.86</v>
      </c>
    </row>
    <row r="294" spans="1:9" x14ac:dyDescent="0.35">
      <c r="A294" s="174" t="s">
        <v>328</v>
      </c>
      <c r="H294" s="5">
        <v>29.86</v>
      </c>
    </row>
    <row r="295" spans="1:9" x14ac:dyDescent="0.35">
      <c r="A295" s="174" t="s">
        <v>329</v>
      </c>
      <c r="H295" s="5">
        <v>59.61</v>
      </c>
    </row>
    <row r="296" spans="1:9" x14ac:dyDescent="0.35">
      <c r="A296" s="174" t="s">
        <v>330</v>
      </c>
    </row>
    <row r="297" spans="1:9" x14ac:dyDescent="0.35">
      <c r="A297" s="174" t="s">
        <v>331</v>
      </c>
    </row>
    <row r="298" spans="1:9" x14ac:dyDescent="0.35">
      <c r="B298" s="2" t="s">
        <v>100</v>
      </c>
      <c r="C298" s="2" t="s">
        <v>16</v>
      </c>
      <c r="D298" s="2">
        <v>2497</v>
      </c>
      <c r="E298" s="2" t="s">
        <v>107</v>
      </c>
      <c r="F298" s="2" t="s">
        <v>332</v>
      </c>
      <c r="G298" s="2" t="s">
        <v>8</v>
      </c>
      <c r="H298" s="4">
        <v>-150</v>
      </c>
      <c r="I298" s="4">
        <v>-150</v>
      </c>
    </row>
    <row r="299" spans="1:9" x14ac:dyDescent="0.35">
      <c r="B299" s="2" t="s">
        <v>191</v>
      </c>
      <c r="C299" s="2" t="s">
        <v>16</v>
      </c>
      <c r="D299" s="2">
        <v>2543</v>
      </c>
      <c r="E299" s="2" t="s">
        <v>107</v>
      </c>
      <c r="F299" s="2" t="s">
        <v>333</v>
      </c>
      <c r="G299" s="2" t="s">
        <v>8</v>
      </c>
      <c r="H299" s="4">
        <v>-130</v>
      </c>
      <c r="I299" s="4">
        <v>-280</v>
      </c>
    </row>
    <row r="300" spans="1:9" x14ac:dyDescent="0.35">
      <c r="A300" s="174" t="s">
        <v>334</v>
      </c>
      <c r="H300" s="5">
        <v>-280</v>
      </c>
    </row>
    <row r="301" spans="1:9" x14ac:dyDescent="0.35">
      <c r="A301" s="174" t="s">
        <v>335</v>
      </c>
    </row>
    <row r="302" spans="1:9" x14ac:dyDescent="0.35">
      <c r="B302" s="2" t="s">
        <v>100</v>
      </c>
      <c r="C302" s="2" t="s">
        <v>10</v>
      </c>
      <c r="D302" s="2"/>
      <c r="E302" s="2" t="s">
        <v>103</v>
      </c>
      <c r="F302" s="2" t="s">
        <v>336</v>
      </c>
      <c r="G302" s="2" t="s">
        <v>8</v>
      </c>
      <c r="H302" s="4">
        <v>487.08</v>
      </c>
      <c r="I302" s="4">
        <v>487.08</v>
      </c>
    </row>
    <row r="303" spans="1:9" x14ac:dyDescent="0.35">
      <c r="B303" s="2" t="s">
        <v>120</v>
      </c>
      <c r="C303" s="2" t="s">
        <v>10</v>
      </c>
      <c r="D303" s="2"/>
      <c r="E303" s="2" t="s">
        <v>121</v>
      </c>
      <c r="F303" s="2" t="s">
        <v>337</v>
      </c>
      <c r="G303" s="2" t="s">
        <v>8</v>
      </c>
      <c r="H303" s="4">
        <v>117.2</v>
      </c>
      <c r="I303" s="4">
        <v>604.28</v>
      </c>
    </row>
    <row r="304" spans="1:9" x14ac:dyDescent="0.35">
      <c r="B304" s="2" t="s">
        <v>160</v>
      </c>
      <c r="C304" s="2" t="s">
        <v>10</v>
      </c>
      <c r="D304" s="2"/>
      <c r="E304" s="2" t="s">
        <v>163</v>
      </c>
      <c r="F304" s="2" t="s">
        <v>338</v>
      </c>
      <c r="G304" s="2" t="s">
        <v>8</v>
      </c>
      <c r="H304" s="4">
        <v>50</v>
      </c>
      <c r="I304" s="4">
        <v>654.28</v>
      </c>
    </row>
    <row r="305" spans="1:9" x14ac:dyDescent="0.35">
      <c r="B305" s="2" t="s">
        <v>191</v>
      </c>
      <c r="C305" s="2" t="s">
        <v>10</v>
      </c>
      <c r="D305" s="2"/>
      <c r="E305" s="2"/>
      <c r="F305" s="2" t="s">
        <v>339</v>
      </c>
      <c r="G305" s="2" t="s">
        <v>8</v>
      </c>
      <c r="H305" s="4">
        <v>160</v>
      </c>
      <c r="I305" s="4">
        <v>814.28</v>
      </c>
    </row>
    <row r="306" spans="1:9" x14ac:dyDescent="0.35">
      <c r="B306" s="2" t="s">
        <v>235</v>
      </c>
      <c r="C306" s="2" t="s">
        <v>10</v>
      </c>
      <c r="D306" s="2"/>
      <c r="E306" s="2" t="s">
        <v>103</v>
      </c>
      <c r="F306" s="2" t="s">
        <v>340</v>
      </c>
      <c r="G306" s="2" t="s">
        <v>8</v>
      </c>
      <c r="H306" s="4">
        <v>470.23</v>
      </c>
      <c r="I306" s="4">
        <v>1284.51</v>
      </c>
    </row>
    <row r="307" spans="1:9" x14ac:dyDescent="0.35">
      <c r="A307" s="174" t="s">
        <v>341</v>
      </c>
      <c r="H307" s="5">
        <v>1284.51</v>
      </c>
    </row>
    <row r="308" spans="1:9" x14ac:dyDescent="0.35">
      <c r="A308" s="174" t="s">
        <v>342</v>
      </c>
    </row>
    <row r="309" spans="1:9" x14ac:dyDescent="0.35">
      <c r="B309" s="2" t="s">
        <v>95</v>
      </c>
      <c r="C309" s="2" t="s">
        <v>10</v>
      </c>
      <c r="D309" s="2"/>
      <c r="E309" s="2" t="s">
        <v>96</v>
      </c>
      <c r="F309" s="2" t="s">
        <v>343</v>
      </c>
      <c r="G309" s="2" t="s">
        <v>8</v>
      </c>
      <c r="H309" s="4">
        <v>225</v>
      </c>
      <c r="I309" s="4">
        <v>225</v>
      </c>
    </row>
    <row r="310" spans="1:9" x14ac:dyDescent="0.35">
      <c r="B310" s="2" t="s">
        <v>168</v>
      </c>
      <c r="C310" s="2" t="s">
        <v>10</v>
      </c>
      <c r="D310" s="2"/>
      <c r="E310" s="2"/>
      <c r="F310" s="2" t="s">
        <v>344</v>
      </c>
      <c r="G310" s="2" t="s">
        <v>8</v>
      </c>
      <c r="H310" s="4">
        <v>238.23</v>
      </c>
      <c r="I310" s="4">
        <v>463.23</v>
      </c>
    </row>
    <row r="311" spans="1:9" x14ac:dyDescent="0.35">
      <c r="B311" s="2" t="s">
        <v>177</v>
      </c>
      <c r="C311" s="2" t="s">
        <v>10</v>
      </c>
      <c r="D311" s="2"/>
      <c r="E311" s="2" t="s">
        <v>96</v>
      </c>
      <c r="F311" s="2" t="s">
        <v>345</v>
      </c>
      <c r="G311" s="2" t="s">
        <v>8</v>
      </c>
      <c r="H311" s="4">
        <v>143</v>
      </c>
      <c r="I311" s="4">
        <v>606.23</v>
      </c>
    </row>
    <row r="312" spans="1:9" x14ac:dyDescent="0.35">
      <c r="A312" s="174" t="s">
        <v>346</v>
      </c>
      <c r="H312" s="5">
        <v>606.23</v>
      </c>
    </row>
    <row r="313" spans="1:9" x14ac:dyDescent="0.35">
      <c r="A313" s="174" t="s">
        <v>347</v>
      </c>
      <c r="H313" s="5">
        <v>1610.74</v>
      </c>
    </row>
    <row r="314" spans="1:9" x14ac:dyDescent="0.35">
      <c r="A314" s="174" t="s">
        <v>348</v>
      </c>
    </row>
    <row r="315" spans="1:9" x14ac:dyDescent="0.35">
      <c r="A315" s="174" t="s">
        <v>349</v>
      </c>
    </row>
    <row r="316" spans="1:9" x14ac:dyDescent="0.35">
      <c r="B316" s="2" t="s">
        <v>15</v>
      </c>
      <c r="C316" s="2" t="s">
        <v>16</v>
      </c>
      <c r="D316" s="2">
        <v>2460</v>
      </c>
      <c r="E316" s="2" t="s">
        <v>17</v>
      </c>
      <c r="F316" s="2" t="s">
        <v>350</v>
      </c>
      <c r="G316" s="2" t="s">
        <v>8</v>
      </c>
      <c r="H316" s="4">
        <v>-1666.91</v>
      </c>
      <c r="I316" s="4">
        <v>-1666.91</v>
      </c>
    </row>
    <row r="317" spans="1:9" x14ac:dyDescent="0.35">
      <c r="B317" s="2" t="s">
        <v>75</v>
      </c>
      <c r="C317" s="2" t="s">
        <v>16</v>
      </c>
      <c r="D317" s="2">
        <v>2483</v>
      </c>
      <c r="E317" s="2" t="s">
        <v>17</v>
      </c>
      <c r="F317" s="2" t="s">
        <v>351</v>
      </c>
      <c r="G317" s="2" t="s">
        <v>8</v>
      </c>
      <c r="H317" s="4">
        <v>-737</v>
      </c>
      <c r="I317" s="4">
        <v>-2403.91</v>
      </c>
    </row>
    <row r="318" spans="1:9" x14ac:dyDescent="0.35">
      <c r="B318" s="2" t="s">
        <v>75</v>
      </c>
      <c r="C318" s="2" t="s">
        <v>16</v>
      </c>
      <c r="D318" s="2">
        <v>2484</v>
      </c>
      <c r="E318" s="2" t="s">
        <v>76</v>
      </c>
      <c r="F318" s="2" t="s">
        <v>352</v>
      </c>
      <c r="G318" s="2" t="s">
        <v>8</v>
      </c>
      <c r="H318" s="4">
        <v>-738.73</v>
      </c>
      <c r="I318" s="4">
        <v>-3142.64</v>
      </c>
    </row>
    <row r="319" spans="1:9" x14ac:dyDescent="0.35">
      <c r="B319" s="2" t="s">
        <v>111</v>
      </c>
      <c r="C319" s="2" t="s">
        <v>16</v>
      </c>
      <c r="D319" s="2">
        <v>2499</v>
      </c>
      <c r="E319" s="2" t="s">
        <v>76</v>
      </c>
      <c r="F319" s="2" t="s">
        <v>353</v>
      </c>
      <c r="G319" s="2" t="s">
        <v>8</v>
      </c>
      <c r="H319" s="4">
        <v>-239.35</v>
      </c>
      <c r="I319" s="4">
        <v>-3381.99</v>
      </c>
    </row>
    <row r="320" spans="1:9" x14ac:dyDescent="0.35">
      <c r="A320" s="174" t="s">
        <v>354</v>
      </c>
      <c r="H320" s="5">
        <v>-3381.99</v>
      </c>
    </row>
    <row r="321" spans="1:9" x14ac:dyDescent="0.35">
      <c r="A321" s="174" t="s">
        <v>355</v>
      </c>
    </row>
    <row r="322" spans="1:9" x14ac:dyDescent="0.35">
      <c r="B322" s="2" t="s">
        <v>12</v>
      </c>
      <c r="C322" s="2" t="s">
        <v>10</v>
      </c>
      <c r="D322" s="2"/>
      <c r="E322" s="2"/>
      <c r="F322" s="2" t="s">
        <v>356</v>
      </c>
      <c r="G322" s="2" t="s">
        <v>8</v>
      </c>
      <c r="H322" s="4">
        <v>2017</v>
      </c>
      <c r="I322" s="4">
        <v>2017</v>
      </c>
    </row>
    <row r="323" spans="1:9" x14ac:dyDescent="0.35">
      <c r="B323" s="2" t="s">
        <v>45</v>
      </c>
      <c r="C323" s="2" t="s">
        <v>10</v>
      </c>
      <c r="D323" s="2"/>
      <c r="E323" s="2"/>
      <c r="F323" s="2" t="s">
        <v>357</v>
      </c>
      <c r="G323" s="2" t="s">
        <v>8</v>
      </c>
      <c r="H323" s="4">
        <v>1333</v>
      </c>
      <c r="I323" s="4">
        <v>3350</v>
      </c>
    </row>
    <row r="324" spans="1:9" x14ac:dyDescent="0.35">
      <c r="B324" s="2" t="s">
        <v>74</v>
      </c>
      <c r="C324" s="2" t="s">
        <v>10</v>
      </c>
      <c r="D324" s="2"/>
      <c r="E324" s="2"/>
      <c r="F324" s="2" t="s">
        <v>358</v>
      </c>
      <c r="G324" s="2" t="s">
        <v>8</v>
      </c>
      <c r="H324" s="4">
        <v>587</v>
      </c>
      <c r="I324" s="4">
        <v>3937</v>
      </c>
    </row>
    <row r="325" spans="1:9" x14ac:dyDescent="0.35">
      <c r="B325" s="2" t="s">
        <v>110</v>
      </c>
      <c r="C325" s="2" t="s">
        <v>10</v>
      </c>
      <c r="D325" s="2"/>
      <c r="E325" s="2"/>
      <c r="F325" s="2" t="s">
        <v>359</v>
      </c>
      <c r="G325" s="2" t="s">
        <v>8</v>
      </c>
      <c r="H325" s="4">
        <v>276</v>
      </c>
      <c r="I325" s="4">
        <v>4213</v>
      </c>
    </row>
    <row r="326" spans="1:9" x14ac:dyDescent="0.35">
      <c r="A326" s="174" t="s">
        <v>360</v>
      </c>
      <c r="H326" s="5">
        <v>4213</v>
      </c>
    </row>
    <row r="327" spans="1:9" x14ac:dyDescent="0.35">
      <c r="A327" s="174" t="s">
        <v>361</v>
      </c>
      <c r="H327" s="5">
        <v>831.01</v>
      </c>
    </row>
    <row r="328" spans="1:9" x14ac:dyDescent="0.35">
      <c r="A328" s="174" t="s">
        <v>362</v>
      </c>
    </row>
    <row r="329" spans="1:9" x14ac:dyDescent="0.35">
      <c r="A329" s="174" t="s">
        <v>363</v>
      </c>
    </row>
    <row r="330" spans="1:9" x14ac:dyDescent="0.35">
      <c r="B330" s="2" t="s">
        <v>95</v>
      </c>
      <c r="C330" s="2" t="s">
        <v>16</v>
      </c>
      <c r="D330" s="2">
        <v>2495</v>
      </c>
      <c r="E330" s="2" t="s">
        <v>97</v>
      </c>
      <c r="F330" s="2" t="s">
        <v>364</v>
      </c>
      <c r="G330" s="2" t="s">
        <v>8</v>
      </c>
      <c r="H330" s="4">
        <v>523</v>
      </c>
      <c r="I330" s="4">
        <v>523</v>
      </c>
    </row>
    <row r="331" spans="1:9" x14ac:dyDescent="0.35">
      <c r="B331" s="2" t="s">
        <v>214</v>
      </c>
      <c r="C331" s="2" t="s">
        <v>16</v>
      </c>
      <c r="D331" s="2">
        <v>2561</v>
      </c>
      <c r="E331" s="2" t="s">
        <v>122</v>
      </c>
      <c r="F331" s="2" t="s">
        <v>365</v>
      </c>
      <c r="G331" s="2" t="s">
        <v>8</v>
      </c>
      <c r="H331" s="4">
        <v>2000</v>
      </c>
      <c r="I331" s="4">
        <v>2523</v>
      </c>
    </row>
    <row r="332" spans="1:9" x14ac:dyDescent="0.35">
      <c r="A332" s="174" t="s">
        <v>366</v>
      </c>
      <c r="H332" s="5">
        <v>2523</v>
      </c>
    </row>
    <row r="333" spans="1:9" x14ac:dyDescent="0.35">
      <c r="A333" s="174" t="s">
        <v>367</v>
      </c>
    </row>
    <row r="334" spans="1:9" x14ac:dyDescent="0.35">
      <c r="B334" s="2" t="s">
        <v>20</v>
      </c>
      <c r="C334" s="2" t="s">
        <v>16</v>
      </c>
      <c r="D334" s="2">
        <v>2463</v>
      </c>
      <c r="E334" s="2" t="s">
        <v>23</v>
      </c>
      <c r="F334" s="2" t="s">
        <v>368</v>
      </c>
      <c r="G334" s="2" t="s">
        <v>8</v>
      </c>
      <c r="H334" s="4">
        <v>150</v>
      </c>
      <c r="I334" s="4">
        <v>150</v>
      </c>
    </row>
    <row r="335" spans="1:9" x14ac:dyDescent="0.35">
      <c r="B335" s="2" t="s">
        <v>27</v>
      </c>
      <c r="C335" s="2" t="s">
        <v>16</v>
      </c>
      <c r="D335" s="2">
        <v>2465</v>
      </c>
      <c r="E335" s="2" t="s">
        <v>30</v>
      </c>
      <c r="F335" s="2" t="s">
        <v>369</v>
      </c>
      <c r="G335" s="2" t="s">
        <v>8</v>
      </c>
      <c r="H335" s="4">
        <v>85.71</v>
      </c>
      <c r="I335" s="4">
        <v>235.71</v>
      </c>
    </row>
    <row r="336" spans="1:9" x14ac:dyDescent="0.35">
      <c r="B336" s="2" t="s">
        <v>27</v>
      </c>
      <c r="C336" s="2" t="s">
        <v>16</v>
      </c>
      <c r="D336" s="2">
        <v>2464</v>
      </c>
      <c r="E336" s="2" t="s">
        <v>31</v>
      </c>
      <c r="F336" s="2" t="s">
        <v>369</v>
      </c>
      <c r="G336" s="2" t="s">
        <v>8</v>
      </c>
      <c r="H336" s="4">
        <v>121.6</v>
      </c>
      <c r="I336" s="4">
        <v>357.31</v>
      </c>
    </row>
    <row r="337" spans="2:9" x14ac:dyDescent="0.35">
      <c r="B337" s="2" t="s">
        <v>32</v>
      </c>
      <c r="C337" s="2" t="s">
        <v>16</v>
      </c>
      <c r="D337" s="2">
        <v>2468</v>
      </c>
      <c r="E337" s="2" t="s">
        <v>33</v>
      </c>
      <c r="F337" s="2" t="s">
        <v>369</v>
      </c>
      <c r="G337" s="2" t="s">
        <v>8</v>
      </c>
      <c r="H337" s="4">
        <v>102.05</v>
      </c>
      <c r="I337" s="4">
        <v>459.36</v>
      </c>
    </row>
    <row r="338" spans="2:9" x14ac:dyDescent="0.35">
      <c r="B338" s="2" t="s">
        <v>40</v>
      </c>
      <c r="C338" s="2" t="s">
        <v>16</v>
      </c>
      <c r="D338" s="2">
        <v>2470</v>
      </c>
      <c r="E338" s="2" t="s">
        <v>43</v>
      </c>
      <c r="F338" s="2" t="s">
        <v>370</v>
      </c>
      <c r="G338" s="2" t="s">
        <v>8</v>
      </c>
      <c r="H338" s="4">
        <v>147.22999999999999</v>
      </c>
      <c r="I338" s="4">
        <v>606.59</v>
      </c>
    </row>
    <row r="339" spans="2:9" x14ac:dyDescent="0.35">
      <c r="B339" s="2" t="s">
        <v>45</v>
      </c>
      <c r="C339" s="2" t="s">
        <v>16</v>
      </c>
      <c r="D339" s="2">
        <v>2473</v>
      </c>
      <c r="E339" s="2" t="s">
        <v>50</v>
      </c>
      <c r="F339" s="2" t="s">
        <v>371</v>
      </c>
      <c r="G339" s="2" t="s">
        <v>8</v>
      </c>
      <c r="H339" s="4">
        <v>150</v>
      </c>
      <c r="I339" s="4">
        <v>756.59</v>
      </c>
    </row>
    <row r="340" spans="2:9" x14ac:dyDescent="0.35">
      <c r="B340" s="2" t="s">
        <v>45</v>
      </c>
      <c r="C340" s="2" t="s">
        <v>16</v>
      </c>
      <c r="D340" s="2">
        <v>2472</v>
      </c>
      <c r="E340" s="2" t="s">
        <v>49</v>
      </c>
      <c r="F340" s="2" t="s">
        <v>371</v>
      </c>
      <c r="G340" s="2" t="s">
        <v>8</v>
      </c>
      <c r="H340" s="4">
        <v>123.42</v>
      </c>
      <c r="I340" s="4">
        <v>880.01</v>
      </c>
    </row>
    <row r="341" spans="2:9" x14ac:dyDescent="0.35">
      <c r="B341" s="2" t="s">
        <v>53</v>
      </c>
      <c r="C341" s="2" t="s">
        <v>16</v>
      </c>
      <c r="D341" s="2">
        <v>2479</v>
      </c>
      <c r="E341" s="2" t="s">
        <v>55</v>
      </c>
      <c r="F341" s="2" t="s">
        <v>369</v>
      </c>
      <c r="G341" s="2" t="s">
        <v>8</v>
      </c>
      <c r="H341" s="4">
        <v>150</v>
      </c>
      <c r="I341" s="4">
        <v>1030.01</v>
      </c>
    </row>
    <row r="342" spans="2:9" x14ac:dyDescent="0.35">
      <c r="B342" s="2" t="s">
        <v>53</v>
      </c>
      <c r="C342" s="2" t="s">
        <v>16</v>
      </c>
      <c r="D342" s="2">
        <v>2477</v>
      </c>
      <c r="E342" s="2" t="s">
        <v>56</v>
      </c>
      <c r="F342" s="2" t="s">
        <v>369</v>
      </c>
      <c r="G342" s="2" t="s">
        <v>8</v>
      </c>
      <c r="H342" s="4">
        <v>137.68</v>
      </c>
      <c r="I342" s="4">
        <v>1167.69</v>
      </c>
    </row>
    <row r="343" spans="2:9" x14ac:dyDescent="0.35">
      <c r="B343" s="2" t="s">
        <v>53</v>
      </c>
      <c r="C343" s="2" t="s">
        <v>16</v>
      </c>
      <c r="D343" s="2">
        <v>2478</v>
      </c>
      <c r="E343" s="2" t="s">
        <v>54</v>
      </c>
      <c r="F343" s="2" t="s">
        <v>369</v>
      </c>
      <c r="G343" s="2" t="s">
        <v>8</v>
      </c>
      <c r="H343" s="4">
        <v>150</v>
      </c>
      <c r="I343" s="4">
        <v>1317.69</v>
      </c>
    </row>
    <row r="344" spans="2:9" x14ac:dyDescent="0.35">
      <c r="B344" s="2" t="s">
        <v>77</v>
      </c>
      <c r="C344" s="2" t="s">
        <v>16</v>
      </c>
      <c r="D344" s="2">
        <v>2486</v>
      </c>
      <c r="E344" s="2" t="s">
        <v>80</v>
      </c>
      <c r="F344" s="2" t="s">
        <v>372</v>
      </c>
      <c r="G344" s="2" t="s">
        <v>8</v>
      </c>
      <c r="H344" s="4">
        <v>45.21</v>
      </c>
      <c r="I344" s="4">
        <v>1362.9</v>
      </c>
    </row>
    <row r="345" spans="2:9" x14ac:dyDescent="0.35">
      <c r="B345" s="2" t="s">
        <v>100</v>
      </c>
      <c r="C345" s="2" t="s">
        <v>16</v>
      </c>
      <c r="D345" s="2">
        <v>2496</v>
      </c>
      <c r="E345" s="2" t="s">
        <v>101</v>
      </c>
      <c r="F345" s="2" t="s">
        <v>373</v>
      </c>
      <c r="G345" s="2" t="s">
        <v>8</v>
      </c>
      <c r="H345" s="4">
        <v>150</v>
      </c>
      <c r="I345" s="4">
        <v>1512.9</v>
      </c>
    </row>
    <row r="346" spans="2:9" x14ac:dyDescent="0.35">
      <c r="B346" s="2" t="s">
        <v>120</v>
      </c>
      <c r="C346" s="2" t="s">
        <v>16</v>
      </c>
      <c r="D346" s="2">
        <v>2506</v>
      </c>
      <c r="E346" s="2" t="s">
        <v>124</v>
      </c>
      <c r="F346" s="2" t="s">
        <v>374</v>
      </c>
      <c r="G346" s="2" t="s">
        <v>8</v>
      </c>
      <c r="H346" s="4">
        <v>150</v>
      </c>
      <c r="I346" s="4">
        <v>1662.9</v>
      </c>
    </row>
    <row r="347" spans="2:9" x14ac:dyDescent="0.35">
      <c r="B347" s="2" t="s">
        <v>130</v>
      </c>
      <c r="C347" s="2" t="s">
        <v>16</v>
      </c>
      <c r="D347" s="2">
        <v>2512</v>
      </c>
      <c r="E347" s="2" t="s">
        <v>30</v>
      </c>
      <c r="F347" s="2" t="s">
        <v>373</v>
      </c>
      <c r="G347" s="2" t="s">
        <v>8</v>
      </c>
      <c r="H347" s="4">
        <v>48.24</v>
      </c>
      <c r="I347" s="4">
        <v>1711.14</v>
      </c>
    </row>
    <row r="348" spans="2:9" x14ac:dyDescent="0.35">
      <c r="B348" s="2" t="s">
        <v>133</v>
      </c>
      <c r="C348" s="2" t="s">
        <v>16</v>
      </c>
      <c r="D348" s="2">
        <v>2514</v>
      </c>
      <c r="E348" s="2" t="s">
        <v>134</v>
      </c>
      <c r="F348" s="2" t="s">
        <v>373</v>
      </c>
      <c r="G348" s="2" t="s">
        <v>8</v>
      </c>
      <c r="H348" s="4">
        <v>149.74</v>
      </c>
      <c r="I348" s="4">
        <v>1860.88</v>
      </c>
    </row>
    <row r="349" spans="2:9" x14ac:dyDescent="0.35">
      <c r="B349" s="2" t="s">
        <v>135</v>
      </c>
      <c r="C349" s="2" t="s">
        <v>16</v>
      </c>
      <c r="D349" s="2">
        <v>2516</v>
      </c>
      <c r="E349" s="2" t="s">
        <v>136</v>
      </c>
      <c r="F349" s="2" t="s">
        <v>373</v>
      </c>
      <c r="G349" s="2" t="s">
        <v>8</v>
      </c>
      <c r="H349" s="4">
        <v>150</v>
      </c>
      <c r="I349" s="4">
        <v>2010.88</v>
      </c>
    </row>
    <row r="350" spans="2:9" x14ac:dyDescent="0.35">
      <c r="B350" s="2" t="s">
        <v>139</v>
      </c>
      <c r="C350" s="2" t="s">
        <v>16</v>
      </c>
      <c r="D350" s="2">
        <v>2517</v>
      </c>
      <c r="E350" s="2" t="s">
        <v>141</v>
      </c>
      <c r="F350" s="2" t="s">
        <v>375</v>
      </c>
      <c r="G350" s="2" t="s">
        <v>8</v>
      </c>
      <c r="H350" s="4">
        <v>300</v>
      </c>
      <c r="I350" s="4">
        <v>2310.88</v>
      </c>
    </row>
    <row r="351" spans="2:9" x14ac:dyDescent="0.35">
      <c r="B351" s="2" t="s">
        <v>158</v>
      </c>
      <c r="C351" s="2" t="s">
        <v>16</v>
      </c>
      <c r="D351" s="2">
        <v>2525</v>
      </c>
      <c r="E351" s="2" t="s">
        <v>159</v>
      </c>
      <c r="F351" s="2" t="s">
        <v>373</v>
      </c>
      <c r="G351" s="2" t="s">
        <v>8</v>
      </c>
      <c r="H351" s="4">
        <v>150</v>
      </c>
      <c r="I351" s="4">
        <v>2460.88</v>
      </c>
    </row>
    <row r="352" spans="2:9" x14ac:dyDescent="0.35">
      <c r="B352" s="2" t="s">
        <v>160</v>
      </c>
      <c r="C352" s="2" t="s">
        <v>16</v>
      </c>
      <c r="D352" s="2">
        <v>2527</v>
      </c>
      <c r="E352" s="2" t="s">
        <v>33</v>
      </c>
      <c r="F352" s="2" t="s">
        <v>373</v>
      </c>
      <c r="G352" s="2" t="s">
        <v>8</v>
      </c>
      <c r="H352" s="4">
        <v>48</v>
      </c>
      <c r="I352" s="4">
        <v>2508.88</v>
      </c>
    </row>
    <row r="353" spans="1:9" x14ac:dyDescent="0.35">
      <c r="B353" s="2" t="s">
        <v>167</v>
      </c>
      <c r="C353" s="2" t="s">
        <v>16</v>
      </c>
      <c r="D353" s="2">
        <v>2531</v>
      </c>
      <c r="E353" s="2" t="s">
        <v>80</v>
      </c>
      <c r="F353" s="2" t="s">
        <v>376</v>
      </c>
      <c r="G353" s="2" t="s">
        <v>8</v>
      </c>
      <c r="H353" s="4">
        <v>104.79</v>
      </c>
      <c r="I353" s="4">
        <v>2613.67</v>
      </c>
    </row>
    <row r="354" spans="1:9" x14ac:dyDescent="0.35">
      <c r="B354" s="2" t="s">
        <v>184</v>
      </c>
      <c r="C354" s="2" t="s">
        <v>16</v>
      </c>
      <c r="D354" s="2">
        <v>2540</v>
      </c>
      <c r="E354" s="2" t="s">
        <v>185</v>
      </c>
      <c r="F354" s="2" t="s">
        <v>377</v>
      </c>
      <c r="G354" s="2" t="s">
        <v>8</v>
      </c>
      <c r="H354" s="4">
        <v>150</v>
      </c>
      <c r="I354" s="4">
        <v>2763.67</v>
      </c>
    </row>
    <row r="355" spans="1:9" x14ac:dyDescent="0.35">
      <c r="B355" s="2" t="s">
        <v>188</v>
      </c>
      <c r="C355" s="2" t="s">
        <v>16</v>
      </c>
      <c r="D355" s="2">
        <v>2541</v>
      </c>
      <c r="E355" s="2" t="s">
        <v>189</v>
      </c>
      <c r="F355" s="2" t="s">
        <v>377</v>
      </c>
      <c r="G355" s="2" t="s">
        <v>8</v>
      </c>
      <c r="H355" s="4">
        <v>150</v>
      </c>
      <c r="I355" s="4">
        <v>2913.67</v>
      </c>
    </row>
    <row r="356" spans="1:9" x14ac:dyDescent="0.35">
      <c r="B356" s="2" t="s">
        <v>191</v>
      </c>
      <c r="C356" s="2" t="s">
        <v>16</v>
      </c>
      <c r="D356" s="2">
        <v>2544</v>
      </c>
      <c r="E356" s="2" t="s">
        <v>193</v>
      </c>
      <c r="F356" s="2" t="s">
        <v>377</v>
      </c>
      <c r="G356" s="2" t="s">
        <v>8</v>
      </c>
      <c r="H356" s="4">
        <v>70.81</v>
      </c>
      <c r="I356" s="4">
        <v>2984.48</v>
      </c>
    </row>
    <row r="357" spans="1:9" x14ac:dyDescent="0.35">
      <c r="B357" s="2" t="s">
        <v>191</v>
      </c>
      <c r="C357" s="2" t="s">
        <v>16</v>
      </c>
      <c r="D357" s="2">
        <v>2545</v>
      </c>
      <c r="E357" s="2" t="s">
        <v>192</v>
      </c>
      <c r="F357" s="2" t="s">
        <v>378</v>
      </c>
      <c r="G357" s="2" t="s">
        <v>8</v>
      </c>
      <c r="H357" s="4">
        <v>300</v>
      </c>
      <c r="I357" s="4">
        <v>3284.48</v>
      </c>
    </row>
    <row r="358" spans="1:9" x14ac:dyDescent="0.35">
      <c r="B358" s="2" t="s">
        <v>201</v>
      </c>
      <c r="C358" s="2" t="s">
        <v>16</v>
      </c>
      <c r="D358" s="2">
        <v>2550</v>
      </c>
      <c r="E358" s="2" t="s">
        <v>206</v>
      </c>
      <c r="F358" s="2" t="s">
        <v>377</v>
      </c>
      <c r="G358" s="2" t="s">
        <v>8</v>
      </c>
      <c r="H358" s="4">
        <v>150</v>
      </c>
      <c r="I358" s="4">
        <v>3434.48</v>
      </c>
    </row>
    <row r="359" spans="1:9" x14ac:dyDescent="0.35">
      <c r="B359" s="2" t="s">
        <v>207</v>
      </c>
      <c r="C359" s="2" t="s">
        <v>16</v>
      </c>
      <c r="D359" s="2">
        <v>2554</v>
      </c>
      <c r="E359" s="2" t="s">
        <v>209</v>
      </c>
      <c r="F359" s="2" t="s">
        <v>379</v>
      </c>
      <c r="G359" s="2" t="s">
        <v>8</v>
      </c>
      <c r="H359" s="4">
        <v>148.03</v>
      </c>
      <c r="I359" s="4">
        <v>3582.51</v>
      </c>
    </row>
    <row r="360" spans="1:9" x14ac:dyDescent="0.35">
      <c r="B360" s="2" t="s">
        <v>207</v>
      </c>
      <c r="C360" s="2" t="s">
        <v>16</v>
      </c>
      <c r="D360" s="2">
        <v>2555</v>
      </c>
      <c r="E360" s="2" t="s">
        <v>210</v>
      </c>
      <c r="F360" s="2" t="s">
        <v>380</v>
      </c>
      <c r="G360" s="2" t="s">
        <v>8</v>
      </c>
      <c r="H360" s="4">
        <v>299.99</v>
      </c>
      <c r="I360" s="4">
        <v>3882.5</v>
      </c>
    </row>
    <row r="361" spans="1:9" x14ac:dyDescent="0.35">
      <c r="B361" s="2" t="s">
        <v>211</v>
      </c>
      <c r="C361" s="2" t="s">
        <v>16</v>
      </c>
      <c r="D361" s="2">
        <v>2558</v>
      </c>
      <c r="E361" s="2" t="s">
        <v>213</v>
      </c>
      <c r="F361" s="2" t="s">
        <v>379</v>
      </c>
      <c r="G361" s="2" t="s">
        <v>8</v>
      </c>
      <c r="H361" s="4">
        <v>149.33000000000001</v>
      </c>
      <c r="I361" s="4">
        <v>4031.83</v>
      </c>
    </row>
    <row r="362" spans="1:9" x14ac:dyDescent="0.35">
      <c r="B362" s="2" t="s">
        <v>214</v>
      </c>
      <c r="C362" s="2" t="s">
        <v>16</v>
      </c>
      <c r="D362" s="2">
        <v>2563</v>
      </c>
      <c r="E362" s="2" t="s">
        <v>215</v>
      </c>
      <c r="F362" s="2" t="s">
        <v>379</v>
      </c>
      <c r="G362" s="2" t="s">
        <v>8</v>
      </c>
      <c r="H362" s="4">
        <v>57.84</v>
      </c>
      <c r="I362" s="4">
        <v>4089.67</v>
      </c>
    </row>
    <row r="363" spans="1:9" x14ac:dyDescent="0.35">
      <c r="B363" s="2" t="s">
        <v>214</v>
      </c>
      <c r="C363" s="2" t="s">
        <v>16</v>
      </c>
      <c r="D363" s="2">
        <v>2562</v>
      </c>
      <c r="E363" s="2" t="s">
        <v>218</v>
      </c>
      <c r="F363" s="2" t="s">
        <v>373</v>
      </c>
      <c r="G363" s="2" t="s">
        <v>8</v>
      </c>
      <c r="H363" s="4">
        <v>150</v>
      </c>
      <c r="I363" s="4">
        <v>4239.67</v>
      </c>
    </row>
    <row r="364" spans="1:9" x14ac:dyDescent="0.35">
      <c r="B364" s="2" t="s">
        <v>219</v>
      </c>
      <c r="C364" s="2" t="s">
        <v>16</v>
      </c>
      <c r="D364" s="2">
        <v>2565</v>
      </c>
      <c r="E364" s="2" t="s">
        <v>30</v>
      </c>
      <c r="F364" s="2" t="s">
        <v>379</v>
      </c>
      <c r="G364" s="2" t="s">
        <v>8</v>
      </c>
      <c r="H364" s="4">
        <v>64</v>
      </c>
      <c r="I364" s="4">
        <v>4303.67</v>
      </c>
    </row>
    <row r="365" spans="1:9" x14ac:dyDescent="0.35">
      <c r="B365" s="2" t="s">
        <v>228</v>
      </c>
      <c r="C365" s="2" t="s">
        <v>16</v>
      </c>
      <c r="D365" s="2">
        <v>2574</v>
      </c>
      <c r="E365" s="2" t="s">
        <v>31</v>
      </c>
      <c r="F365" s="2" t="s">
        <v>381</v>
      </c>
      <c r="G365" s="2" t="s">
        <v>8</v>
      </c>
      <c r="H365" s="4">
        <v>7.98</v>
      </c>
      <c r="I365" s="4">
        <v>4311.6499999999996</v>
      </c>
    </row>
    <row r="366" spans="1:9" x14ac:dyDescent="0.35">
      <c r="B366" s="2" t="s">
        <v>228</v>
      </c>
      <c r="C366" s="2" t="s">
        <v>16</v>
      </c>
      <c r="D366" s="2">
        <v>2577</v>
      </c>
      <c r="E366" s="2" t="s">
        <v>231</v>
      </c>
      <c r="F366" s="2" t="s">
        <v>373</v>
      </c>
      <c r="G366" s="2" t="s">
        <v>8</v>
      </c>
      <c r="H366" s="4">
        <v>147.36000000000001</v>
      </c>
      <c r="I366" s="4">
        <v>4459.01</v>
      </c>
    </row>
    <row r="367" spans="1:9" x14ac:dyDescent="0.35">
      <c r="A367" s="174" t="s">
        <v>382</v>
      </c>
      <c r="H367" s="5">
        <v>4459.01</v>
      </c>
    </row>
    <row r="368" spans="1:9" x14ac:dyDescent="0.35">
      <c r="A368" s="174" t="s">
        <v>383</v>
      </c>
      <c r="H368" s="5">
        <v>6982.01</v>
      </c>
    </row>
    <row r="369" spans="1:9" x14ac:dyDescent="0.35">
      <c r="A369" s="174" t="s">
        <v>384</v>
      </c>
    </row>
    <row r="370" spans="1:9" x14ac:dyDescent="0.35">
      <c r="A370" s="174" t="s">
        <v>385</v>
      </c>
    </row>
    <row r="371" spans="1:9" x14ac:dyDescent="0.35">
      <c r="B371" s="2" t="s">
        <v>194</v>
      </c>
      <c r="C371" s="2" t="s">
        <v>16</v>
      </c>
      <c r="D371" s="2">
        <v>2546</v>
      </c>
      <c r="E371" s="2" t="s">
        <v>195</v>
      </c>
      <c r="F371" s="2" t="s">
        <v>386</v>
      </c>
      <c r="G371" s="2" t="s">
        <v>8</v>
      </c>
      <c r="H371" s="4">
        <v>226</v>
      </c>
      <c r="I371" s="4">
        <v>226</v>
      </c>
    </row>
    <row r="372" spans="1:9" x14ac:dyDescent="0.35">
      <c r="A372" s="174" t="s">
        <v>387</v>
      </c>
      <c r="H372" s="5">
        <v>226</v>
      </c>
    </row>
    <row r="373" spans="1:9" x14ac:dyDescent="0.35">
      <c r="A373" s="174" t="s">
        <v>388</v>
      </c>
    </row>
    <row r="374" spans="1:9" x14ac:dyDescent="0.35">
      <c r="B374" s="2" t="s">
        <v>53</v>
      </c>
      <c r="C374" s="2" t="s">
        <v>16</v>
      </c>
      <c r="D374" s="2">
        <v>2476</v>
      </c>
      <c r="E374" s="2" t="s">
        <v>57</v>
      </c>
      <c r="F374" s="2" t="s">
        <v>389</v>
      </c>
      <c r="G374" s="2" t="s">
        <v>8</v>
      </c>
      <c r="H374" s="4">
        <v>67.94</v>
      </c>
      <c r="I374" s="4">
        <v>67.94</v>
      </c>
    </row>
    <row r="375" spans="1:9" x14ac:dyDescent="0.35">
      <c r="B375" s="2" t="s">
        <v>93</v>
      </c>
      <c r="C375" s="2" t="s">
        <v>16</v>
      </c>
      <c r="D375" s="2">
        <v>2492</v>
      </c>
      <c r="E375" s="2" t="s">
        <v>94</v>
      </c>
      <c r="F375" s="2" t="s">
        <v>390</v>
      </c>
      <c r="G375" s="2" t="s">
        <v>8</v>
      </c>
      <c r="H375" s="4">
        <v>59.87</v>
      </c>
      <c r="I375" s="4">
        <v>127.81</v>
      </c>
    </row>
    <row r="376" spans="1:9" x14ac:dyDescent="0.35">
      <c r="B376" s="2" t="s">
        <v>168</v>
      </c>
      <c r="C376" s="2" t="s">
        <v>16</v>
      </c>
      <c r="D376" s="2">
        <v>2532</v>
      </c>
      <c r="E376" s="2" t="s">
        <v>57</v>
      </c>
      <c r="F376" s="2" t="s">
        <v>391</v>
      </c>
      <c r="G376" s="2" t="s">
        <v>8</v>
      </c>
      <c r="H376" s="4">
        <v>109.26</v>
      </c>
      <c r="I376" s="4">
        <v>237.07</v>
      </c>
    </row>
    <row r="377" spans="1:9" x14ac:dyDescent="0.35">
      <c r="B377" s="2" t="s">
        <v>227</v>
      </c>
      <c r="C377" s="2" t="s">
        <v>16</v>
      </c>
      <c r="D377" s="2">
        <v>2570</v>
      </c>
      <c r="E377" s="2" t="s">
        <v>57</v>
      </c>
      <c r="F377" s="2" t="s">
        <v>392</v>
      </c>
      <c r="G377" s="2" t="s">
        <v>8</v>
      </c>
      <c r="H377" s="4">
        <v>113.69</v>
      </c>
      <c r="I377" s="4">
        <v>350.76</v>
      </c>
    </row>
    <row r="378" spans="1:9" x14ac:dyDescent="0.35">
      <c r="B378" s="2" t="s">
        <v>228</v>
      </c>
      <c r="C378" s="2" t="s">
        <v>16</v>
      </c>
      <c r="D378" s="2">
        <v>2571</v>
      </c>
      <c r="E378" s="2" t="s">
        <v>229</v>
      </c>
      <c r="F378" s="2" t="s">
        <v>393</v>
      </c>
      <c r="G378" s="2" t="s">
        <v>8</v>
      </c>
      <c r="H378" s="4">
        <v>28.1</v>
      </c>
      <c r="I378" s="4">
        <v>378.86</v>
      </c>
    </row>
    <row r="379" spans="1:9" x14ac:dyDescent="0.35">
      <c r="A379" s="174" t="s">
        <v>394</v>
      </c>
      <c r="H379" s="5">
        <v>378.86</v>
      </c>
    </row>
    <row r="380" spans="1:9" x14ac:dyDescent="0.35">
      <c r="A380" s="174" t="s">
        <v>395</v>
      </c>
    </row>
    <row r="381" spans="1:9" x14ac:dyDescent="0.35">
      <c r="B381" s="2" t="s">
        <v>15</v>
      </c>
      <c r="C381" s="2" t="s">
        <v>16</v>
      </c>
      <c r="D381" s="2">
        <v>2461</v>
      </c>
      <c r="E381" s="2" t="s">
        <v>17</v>
      </c>
      <c r="F381" s="2" t="s">
        <v>396</v>
      </c>
      <c r="G381" s="2" t="s">
        <v>8</v>
      </c>
      <c r="H381" s="4">
        <v>319</v>
      </c>
      <c r="I381" s="4">
        <v>319</v>
      </c>
    </row>
    <row r="382" spans="1:9" x14ac:dyDescent="0.35">
      <c r="B382" s="2" t="s">
        <v>92</v>
      </c>
      <c r="C382" s="2" t="s">
        <v>16</v>
      </c>
      <c r="D382" s="2">
        <v>2490</v>
      </c>
      <c r="E382" s="2" t="s">
        <v>17</v>
      </c>
      <c r="F382" s="2" t="s">
        <v>397</v>
      </c>
      <c r="G382" s="2" t="s">
        <v>8</v>
      </c>
      <c r="H382" s="4">
        <v>119.88</v>
      </c>
      <c r="I382" s="4">
        <v>438.88</v>
      </c>
    </row>
    <row r="383" spans="1:9" x14ac:dyDescent="0.35">
      <c r="B383" s="2" t="s">
        <v>158</v>
      </c>
      <c r="C383" s="2" t="s">
        <v>16</v>
      </c>
      <c r="D383" s="2">
        <v>2524</v>
      </c>
      <c r="E383" s="2" t="s">
        <v>17</v>
      </c>
      <c r="F383" s="2" t="s">
        <v>398</v>
      </c>
      <c r="G383" s="2" t="s">
        <v>8</v>
      </c>
      <c r="H383" s="4">
        <v>62.32</v>
      </c>
      <c r="I383" s="4">
        <v>501.2</v>
      </c>
    </row>
    <row r="384" spans="1:9" x14ac:dyDescent="0.35">
      <c r="A384" s="174" t="s">
        <v>399</v>
      </c>
      <c r="H384" s="5">
        <v>501.2</v>
      </c>
    </row>
    <row r="385" spans="1:9" x14ac:dyDescent="0.35">
      <c r="A385" s="174" t="s">
        <v>400</v>
      </c>
      <c r="H385" s="5">
        <v>1106.06</v>
      </c>
    </row>
    <row r="386" spans="1:9" x14ac:dyDescent="0.35">
      <c r="A386" s="174" t="s">
        <v>401</v>
      </c>
    </row>
    <row r="387" spans="1:9" x14ac:dyDescent="0.35">
      <c r="A387" s="174" t="s">
        <v>402</v>
      </c>
    </row>
    <row r="388" spans="1:9" x14ac:dyDescent="0.35">
      <c r="B388" s="2" t="s">
        <v>194</v>
      </c>
      <c r="C388" s="2" t="s">
        <v>16</v>
      </c>
      <c r="D388" s="2">
        <v>2549</v>
      </c>
      <c r="E388" s="2" t="s">
        <v>199</v>
      </c>
      <c r="F388" s="2" t="s">
        <v>403</v>
      </c>
      <c r="G388" s="2" t="s">
        <v>8</v>
      </c>
      <c r="H388" s="4">
        <v>765</v>
      </c>
      <c r="I388" s="4">
        <v>765</v>
      </c>
    </row>
    <row r="389" spans="1:9" x14ac:dyDescent="0.35">
      <c r="A389" s="174" t="s">
        <v>404</v>
      </c>
      <c r="H389" s="5">
        <v>765</v>
      </c>
    </row>
    <row r="390" spans="1:9" x14ac:dyDescent="0.35">
      <c r="A390" s="174" t="s">
        <v>405</v>
      </c>
    </row>
    <row r="391" spans="1:9" x14ac:dyDescent="0.35">
      <c r="B391" s="2" t="s">
        <v>63</v>
      </c>
      <c r="C391" s="2" t="s">
        <v>16</v>
      </c>
      <c r="D391" s="2">
        <v>2482</v>
      </c>
      <c r="E391" s="2" t="s">
        <v>66</v>
      </c>
      <c r="F391" s="2" t="s">
        <v>406</v>
      </c>
      <c r="G391" s="2" t="s">
        <v>8</v>
      </c>
      <c r="H391" s="4">
        <v>60</v>
      </c>
      <c r="I391" s="4">
        <v>60</v>
      </c>
    </row>
    <row r="392" spans="1:9" x14ac:dyDescent="0.35">
      <c r="B392" s="2" t="s">
        <v>118</v>
      </c>
      <c r="C392" s="2" t="s">
        <v>16</v>
      </c>
      <c r="D392" s="2">
        <v>2504</v>
      </c>
      <c r="E392" s="2" t="s">
        <v>66</v>
      </c>
      <c r="F392" s="2" t="s">
        <v>407</v>
      </c>
      <c r="G392" s="2" t="s">
        <v>8</v>
      </c>
      <c r="H392" s="4">
        <v>148.41</v>
      </c>
      <c r="I392" s="4">
        <v>208.41</v>
      </c>
    </row>
    <row r="393" spans="1:9" x14ac:dyDescent="0.35">
      <c r="A393" s="174" t="s">
        <v>408</v>
      </c>
      <c r="H393" s="5">
        <v>208.41</v>
      </c>
    </row>
    <row r="394" spans="1:9" x14ac:dyDescent="0.35">
      <c r="A394" s="174" t="s">
        <v>409</v>
      </c>
    </row>
    <row r="395" spans="1:9" x14ac:dyDescent="0.35">
      <c r="B395" s="2" t="s">
        <v>32</v>
      </c>
      <c r="C395" s="2" t="s">
        <v>16</v>
      </c>
      <c r="D395" s="2">
        <v>2467</v>
      </c>
      <c r="E395" s="2" t="s">
        <v>34</v>
      </c>
      <c r="F395" s="2" t="s">
        <v>410</v>
      </c>
      <c r="G395" s="2" t="s">
        <v>8</v>
      </c>
      <c r="H395" s="4">
        <v>1188.67</v>
      </c>
      <c r="I395" s="4">
        <v>1188.67</v>
      </c>
    </row>
    <row r="396" spans="1:9" x14ac:dyDescent="0.35">
      <c r="A396" s="174" t="s">
        <v>411</v>
      </c>
      <c r="H396" s="5">
        <v>1188.67</v>
      </c>
    </row>
    <row r="397" spans="1:9" x14ac:dyDescent="0.35">
      <c r="A397" s="174" t="s">
        <v>412</v>
      </c>
      <c r="H397" s="5">
        <v>2162.08</v>
      </c>
    </row>
    <row r="398" spans="1:9" x14ac:dyDescent="0.35">
      <c r="A398" s="174" t="s">
        <v>413</v>
      </c>
    </row>
    <row r="399" spans="1:9" x14ac:dyDescent="0.35">
      <c r="A399" s="174" t="s">
        <v>414</v>
      </c>
    </row>
    <row r="400" spans="1:9" x14ac:dyDescent="0.35">
      <c r="B400" s="2" t="s">
        <v>111</v>
      </c>
      <c r="C400" s="2" t="s">
        <v>16</v>
      </c>
      <c r="D400" s="2">
        <v>2500</v>
      </c>
      <c r="E400" s="2" t="s">
        <v>57</v>
      </c>
      <c r="F400" s="2" t="s">
        <v>415</v>
      </c>
      <c r="G400" s="2" t="s">
        <v>8</v>
      </c>
      <c r="H400" s="4">
        <v>381.7</v>
      </c>
      <c r="I400" s="4">
        <v>381.7</v>
      </c>
    </row>
    <row r="401" spans="1:9" x14ac:dyDescent="0.35">
      <c r="B401" s="2" t="s">
        <v>120</v>
      </c>
      <c r="C401" s="2" t="s">
        <v>16</v>
      </c>
      <c r="D401" s="2">
        <v>2508</v>
      </c>
      <c r="E401" s="2" t="s">
        <v>123</v>
      </c>
      <c r="F401" s="2" t="s">
        <v>416</v>
      </c>
      <c r="G401" s="2" t="s">
        <v>8</v>
      </c>
      <c r="H401" s="4">
        <v>50</v>
      </c>
      <c r="I401" s="4">
        <v>431.7</v>
      </c>
    </row>
    <row r="402" spans="1:9" x14ac:dyDescent="0.35">
      <c r="B402" s="2" t="s">
        <v>120</v>
      </c>
      <c r="C402" s="2" t="s">
        <v>16</v>
      </c>
      <c r="D402" s="2">
        <v>2507</v>
      </c>
      <c r="E402" s="2" t="s">
        <v>123</v>
      </c>
      <c r="F402" s="2" t="s">
        <v>417</v>
      </c>
      <c r="G402" s="2" t="s">
        <v>8</v>
      </c>
      <c r="H402" s="4">
        <v>0</v>
      </c>
      <c r="I402" s="4">
        <v>431.7</v>
      </c>
    </row>
    <row r="403" spans="1:9" x14ac:dyDescent="0.35">
      <c r="A403" s="174" t="s">
        <v>418</v>
      </c>
      <c r="H403" s="5">
        <v>431.7</v>
      </c>
    </row>
    <row r="404" spans="1:9" x14ac:dyDescent="0.35">
      <c r="A404" s="174" t="s">
        <v>419</v>
      </c>
    </row>
    <row r="405" spans="1:9" x14ac:dyDescent="0.35">
      <c r="B405" s="2" t="s">
        <v>12</v>
      </c>
      <c r="C405" s="2" t="s">
        <v>10</v>
      </c>
      <c r="D405" s="2"/>
      <c r="E405" s="2"/>
      <c r="F405" s="2" t="s">
        <v>420</v>
      </c>
      <c r="G405" s="2" t="s">
        <v>8</v>
      </c>
      <c r="H405" s="4">
        <v>61</v>
      </c>
      <c r="I405" s="4">
        <v>61</v>
      </c>
    </row>
    <row r="406" spans="1:9" x14ac:dyDescent="0.35">
      <c r="B406" s="2" t="s">
        <v>45</v>
      </c>
      <c r="C406" s="2" t="s">
        <v>10</v>
      </c>
      <c r="D406" s="2"/>
      <c r="E406" s="2"/>
      <c r="F406" s="2" t="s">
        <v>421</v>
      </c>
      <c r="G406" s="2" t="s">
        <v>8</v>
      </c>
      <c r="H406" s="4">
        <v>40.4</v>
      </c>
      <c r="I406" s="4">
        <v>101.4</v>
      </c>
    </row>
    <row r="407" spans="1:9" x14ac:dyDescent="0.35">
      <c r="B407" s="2" t="s">
        <v>45</v>
      </c>
      <c r="C407" s="2" t="s">
        <v>10</v>
      </c>
      <c r="D407" s="2"/>
      <c r="E407" s="2"/>
      <c r="F407" s="2" t="s">
        <v>422</v>
      </c>
      <c r="G407" s="2" t="s">
        <v>8</v>
      </c>
      <c r="H407" s="4">
        <v>452.35</v>
      </c>
      <c r="I407" s="4">
        <v>553.75</v>
      </c>
    </row>
    <row r="408" spans="1:9" x14ac:dyDescent="0.35">
      <c r="B408" s="2" t="s">
        <v>45</v>
      </c>
      <c r="C408" s="2" t="s">
        <v>10</v>
      </c>
      <c r="D408" s="2"/>
      <c r="E408" s="2"/>
      <c r="F408" s="2" t="s">
        <v>423</v>
      </c>
      <c r="G408" s="2" t="s">
        <v>8</v>
      </c>
      <c r="H408" s="4">
        <v>1.4</v>
      </c>
      <c r="I408" s="4">
        <v>555.15</v>
      </c>
    </row>
    <row r="409" spans="1:9" x14ac:dyDescent="0.35">
      <c r="B409" s="2" t="s">
        <v>74</v>
      </c>
      <c r="C409" s="2" t="s">
        <v>10</v>
      </c>
      <c r="D409" s="2"/>
      <c r="E409" s="2"/>
      <c r="F409" s="2" t="s">
        <v>424</v>
      </c>
      <c r="G409" s="2" t="s">
        <v>8</v>
      </c>
      <c r="H409" s="4">
        <v>68.760000000000005</v>
      </c>
      <c r="I409" s="4">
        <v>623.91</v>
      </c>
    </row>
    <row r="410" spans="1:9" x14ac:dyDescent="0.35">
      <c r="B410" s="2" t="s">
        <v>91</v>
      </c>
      <c r="C410" s="2" t="s">
        <v>10</v>
      </c>
      <c r="D410" s="2"/>
      <c r="E410" s="2"/>
      <c r="F410" s="2" t="s">
        <v>425</v>
      </c>
      <c r="G410" s="2" t="s">
        <v>8</v>
      </c>
      <c r="H410" s="4">
        <v>40.65</v>
      </c>
      <c r="I410" s="4">
        <v>664.56</v>
      </c>
    </row>
    <row r="411" spans="1:9" x14ac:dyDescent="0.35">
      <c r="B411" s="2" t="s">
        <v>110</v>
      </c>
      <c r="C411" s="2" t="s">
        <v>10</v>
      </c>
      <c r="D411" s="2"/>
      <c r="E411" s="2"/>
      <c r="F411" s="2" t="s">
        <v>359</v>
      </c>
      <c r="G411" s="2" t="s">
        <v>8</v>
      </c>
      <c r="H411" s="4">
        <v>8.18</v>
      </c>
      <c r="I411" s="4">
        <v>672.74</v>
      </c>
    </row>
    <row r="412" spans="1:9" x14ac:dyDescent="0.35">
      <c r="B412" s="2" t="s">
        <v>110</v>
      </c>
      <c r="C412" s="2" t="s">
        <v>10</v>
      </c>
      <c r="D412" s="2"/>
      <c r="E412" s="2"/>
      <c r="F412" s="2" t="s">
        <v>426</v>
      </c>
      <c r="G412" s="2" t="s">
        <v>8</v>
      </c>
      <c r="H412" s="4">
        <v>19.510000000000002</v>
      </c>
      <c r="I412" s="4">
        <v>692.25</v>
      </c>
    </row>
    <row r="413" spans="1:9" x14ac:dyDescent="0.35">
      <c r="B413" s="2" t="s">
        <v>128</v>
      </c>
      <c r="C413" s="2" t="s">
        <v>10</v>
      </c>
      <c r="D413" s="2"/>
      <c r="E413" s="2"/>
      <c r="F413" s="2" t="s">
        <v>427</v>
      </c>
      <c r="G413" s="2" t="s">
        <v>8</v>
      </c>
      <c r="H413" s="4">
        <v>1.56</v>
      </c>
      <c r="I413" s="4">
        <v>693.81</v>
      </c>
    </row>
    <row r="414" spans="1:9" x14ac:dyDescent="0.35">
      <c r="B414" s="2" t="s">
        <v>154</v>
      </c>
      <c r="C414" s="2" t="s">
        <v>10</v>
      </c>
      <c r="D414" s="2"/>
      <c r="E414" s="2"/>
      <c r="F414" s="2" t="s">
        <v>428</v>
      </c>
      <c r="G414" s="2" t="s">
        <v>8</v>
      </c>
      <c r="H414" s="4">
        <v>5.6</v>
      </c>
      <c r="I414" s="4">
        <v>699.41</v>
      </c>
    </row>
    <row r="415" spans="1:9" x14ac:dyDescent="0.35">
      <c r="B415" s="2" t="s">
        <v>176</v>
      </c>
      <c r="C415" s="2" t="s">
        <v>10</v>
      </c>
      <c r="D415" s="2"/>
      <c r="E415" s="2"/>
      <c r="F415" s="2" t="s">
        <v>429</v>
      </c>
      <c r="G415" s="2" t="s">
        <v>8</v>
      </c>
      <c r="H415" s="4">
        <v>0.84</v>
      </c>
      <c r="I415" s="4">
        <v>700.25</v>
      </c>
    </row>
    <row r="416" spans="1:9" x14ac:dyDescent="0.35">
      <c r="A416" s="174" t="s">
        <v>430</v>
      </c>
      <c r="H416" s="5">
        <v>700.25</v>
      </c>
    </row>
    <row r="417" spans="1:9" x14ac:dyDescent="0.35">
      <c r="A417" s="174" t="s">
        <v>431</v>
      </c>
    </row>
    <row r="418" spans="1:9" x14ac:dyDescent="0.35">
      <c r="B418" s="2" t="s">
        <v>25</v>
      </c>
      <c r="C418" s="2" t="s">
        <v>10</v>
      </c>
      <c r="D418" s="2"/>
      <c r="E418" s="2"/>
      <c r="F418" s="2" t="s">
        <v>432</v>
      </c>
      <c r="G418" s="2" t="s">
        <v>8</v>
      </c>
      <c r="H418" s="4">
        <v>4.82</v>
      </c>
      <c r="I418" s="4">
        <v>4.82</v>
      </c>
    </row>
    <row r="419" spans="1:9" x14ac:dyDescent="0.35">
      <c r="B419" s="2" t="s">
        <v>32</v>
      </c>
      <c r="C419" s="2" t="s">
        <v>10</v>
      </c>
      <c r="D419" s="2"/>
      <c r="E419" s="2"/>
      <c r="F419" s="2" t="s">
        <v>433</v>
      </c>
      <c r="G419" s="2" t="s">
        <v>8</v>
      </c>
      <c r="H419" s="4">
        <v>18.29</v>
      </c>
      <c r="I419" s="4">
        <v>23.11</v>
      </c>
    </row>
    <row r="420" spans="1:9" x14ac:dyDescent="0.35">
      <c r="B420" s="2" t="s">
        <v>36</v>
      </c>
      <c r="C420" s="2" t="s">
        <v>10</v>
      </c>
      <c r="D420" s="2"/>
      <c r="E420" s="2"/>
      <c r="F420" s="2" t="s">
        <v>434</v>
      </c>
      <c r="G420" s="2" t="s">
        <v>8</v>
      </c>
      <c r="H420" s="4">
        <v>4.53</v>
      </c>
      <c r="I420" s="4">
        <v>27.64</v>
      </c>
    </row>
    <row r="421" spans="1:9" x14ac:dyDescent="0.35">
      <c r="B421" s="2" t="s">
        <v>127</v>
      </c>
      <c r="C421" s="2" t="s">
        <v>10</v>
      </c>
      <c r="D421" s="2"/>
      <c r="E421" s="2"/>
      <c r="F421" s="2" t="s">
        <v>435</v>
      </c>
      <c r="G421" s="2" t="s">
        <v>8</v>
      </c>
      <c r="H421" s="4">
        <v>1.38</v>
      </c>
      <c r="I421" s="4">
        <v>29.02</v>
      </c>
    </row>
    <row r="422" spans="1:9" x14ac:dyDescent="0.35">
      <c r="B422" s="2" t="s">
        <v>146</v>
      </c>
      <c r="C422" s="2" t="s">
        <v>10</v>
      </c>
      <c r="D422" s="2"/>
      <c r="E422" s="2"/>
      <c r="F422" s="2" t="s">
        <v>436</v>
      </c>
      <c r="G422" s="2" t="s">
        <v>8</v>
      </c>
      <c r="H422" s="4">
        <v>1.24</v>
      </c>
      <c r="I422" s="4">
        <v>30.26</v>
      </c>
    </row>
    <row r="423" spans="1:9" x14ac:dyDescent="0.35">
      <c r="A423" s="174" t="s">
        <v>437</v>
      </c>
      <c r="H423" s="5">
        <v>30.26</v>
      </c>
    </row>
    <row r="424" spans="1:9" x14ac:dyDescent="0.35">
      <c r="A424" s="174" t="s">
        <v>438</v>
      </c>
      <c r="H424" s="5">
        <v>1162.21</v>
      </c>
    </row>
    <row r="425" spans="1:9" x14ac:dyDescent="0.35">
      <c r="A425" s="174" t="s">
        <v>439</v>
      </c>
    </row>
    <row r="426" spans="1:9" x14ac:dyDescent="0.35">
      <c r="A426" s="174" t="s">
        <v>440</v>
      </c>
    </row>
    <row r="427" spans="1:9" x14ac:dyDescent="0.35">
      <c r="A427" s="174" t="s">
        <v>441</v>
      </c>
    </row>
    <row r="428" spans="1:9" x14ac:dyDescent="0.35">
      <c r="B428" s="2" t="s">
        <v>40</v>
      </c>
      <c r="C428" s="2" t="s">
        <v>16</v>
      </c>
      <c r="D428" s="2">
        <v>2471</v>
      </c>
      <c r="E428" s="2" t="s">
        <v>41</v>
      </c>
      <c r="F428" s="2" t="s">
        <v>442</v>
      </c>
      <c r="G428" s="2" t="s">
        <v>8</v>
      </c>
      <c r="H428" s="4">
        <v>140</v>
      </c>
      <c r="I428" s="4">
        <v>140</v>
      </c>
    </row>
    <row r="429" spans="1:9" x14ac:dyDescent="0.35">
      <c r="B429" s="2" t="s">
        <v>59</v>
      </c>
      <c r="C429" s="2" t="s">
        <v>16</v>
      </c>
      <c r="D429" s="2">
        <v>2480</v>
      </c>
      <c r="E429" s="2" t="s">
        <v>60</v>
      </c>
      <c r="F429" s="2" t="s">
        <v>443</v>
      </c>
      <c r="G429" s="2" t="s">
        <v>8</v>
      </c>
      <c r="H429" s="4">
        <v>25</v>
      </c>
      <c r="I429" s="4">
        <v>165</v>
      </c>
    </row>
    <row r="430" spans="1:9" x14ac:dyDescent="0.35">
      <c r="A430" s="174" t="s">
        <v>444</v>
      </c>
      <c r="H430" s="5">
        <v>165</v>
      </c>
    </row>
    <row r="431" spans="1:9" x14ac:dyDescent="0.35">
      <c r="A431" s="174" t="s">
        <v>445</v>
      </c>
    </row>
    <row r="432" spans="1:9" x14ac:dyDescent="0.35">
      <c r="B432" s="2" t="s">
        <v>61</v>
      </c>
      <c r="C432" s="2" t="s">
        <v>10</v>
      </c>
      <c r="D432" s="2"/>
      <c r="E432" s="2" t="s">
        <v>21</v>
      </c>
      <c r="F432" s="2" t="s">
        <v>446</v>
      </c>
      <c r="G432" s="2" t="s">
        <v>8</v>
      </c>
      <c r="H432" s="4">
        <v>-126.8</v>
      </c>
      <c r="I432" s="4">
        <v>-126.8</v>
      </c>
    </row>
    <row r="433" spans="1:9" x14ac:dyDescent="0.35">
      <c r="B433" s="2" t="s">
        <v>95</v>
      </c>
      <c r="C433" s="2" t="s">
        <v>10</v>
      </c>
      <c r="D433" s="2"/>
      <c r="E433" s="2" t="s">
        <v>96</v>
      </c>
      <c r="F433" s="2" t="s">
        <v>447</v>
      </c>
      <c r="G433" s="2" t="s">
        <v>8</v>
      </c>
      <c r="H433" s="4">
        <v>-99.6</v>
      </c>
      <c r="I433" s="4">
        <v>-226.4</v>
      </c>
    </row>
    <row r="434" spans="1:9" x14ac:dyDescent="0.35">
      <c r="A434" s="174" t="s">
        <v>448</v>
      </c>
      <c r="H434" s="5">
        <v>-226.4</v>
      </c>
    </row>
    <row r="435" spans="1:9" x14ac:dyDescent="0.35">
      <c r="A435" s="174" t="s">
        <v>449</v>
      </c>
      <c r="H435" s="5">
        <v>-61.4</v>
      </c>
    </row>
    <row r="436" spans="1:9" x14ac:dyDescent="0.35">
      <c r="A436" s="174" t="s">
        <v>450</v>
      </c>
    </row>
    <row r="437" spans="1:9" x14ac:dyDescent="0.35">
      <c r="A437" s="174" t="s">
        <v>451</v>
      </c>
    </row>
    <row r="438" spans="1:9" x14ac:dyDescent="0.35">
      <c r="B438" s="2" t="s">
        <v>59</v>
      </c>
      <c r="C438" s="2" t="s">
        <v>16</v>
      </c>
      <c r="D438" s="2">
        <v>2480</v>
      </c>
      <c r="E438" s="2" t="s">
        <v>60</v>
      </c>
      <c r="F438" s="2" t="s">
        <v>443</v>
      </c>
      <c r="G438" s="2" t="s">
        <v>8</v>
      </c>
      <c r="H438" s="4">
        <v>25</v>
      </c>
      <c r="I438" s="4">
        <v>25</v>
      </c>
    </row>
    <row r="439" spans="1:9" x14ac:dyDescent="0.35">
      <c r="B439" s="2" t="s">
        <v>160</v>
      </c>
      <c r="C439" s="2" t="s">
        <v>16</v>
      </c>
      <c r="D439" s="2">
        <v>2526</v>
      </c>
      <c r="E439" s="2" t="s">
        <v>161</v>
      </c>
      <c r="F439" s="2" t="s">
        <v>452</v>
      </c>
      <c r="G439" s="2" t="s">
        <v>8</v>
      </c>
      <c r="H439" s="4">
        <v>1533.12</v>
      </c>
      <c r="I439" s="4">
        <v>1558.12</v>
      </c>
    </row>
    <row r="440" spans="1:9" x14ac:dyDescent="0.35">
      <c r="B440" s="2" t="s">
        <v>164</v>
      </c>
      <c r="C440" s="2" t="s">
        <v>16</v>
      </c>
      <c r="D440" s="2">
        <v>2529</v>
      </c>
      <c r="E440" s="2" t="s">
        <v>161</v>
      </c>
      <c r="F440" s="2" t="s">
        <v>453</v>
      </c>
      <c r="G440" s="2" t="s">
        <v>8</v>
      </c>
      <c r="H440" s="4">
        <v>5.63</v>
      </c>
      <c r="I440" s="4">
        <v>1563.75</v>
      </c>
    </row>
    <row r="441" spans="1:9" x14ac:dyDescent="0.35">
      <c r="B441" s="2" t="s">
        <v>188</v>
      </c>
      <c r="C441" s="2" t="s">
        <v>16</v>
      </c>
      <c r="D441" s="2">
        <v>2542</v>
      </c>
      <c r="E441" s="2" t="s">
        <v>57</v>
      </c>
      <c r="F441" s="2" t="s">
        <v>454</v>
      </c>
      <c r="G441" s="2" t="s">
        <v>8</v>
      </c>
      <c r="H441" s="4">
        <v>133.03</v>
      </c>
      <c r="I441" s="4">
        <v>1696.78</v>
      </c>
    </row>
    <row r="442" spans="1:9" x14ac:dyDescent="0.35">
      <c r="B442" s="2" t="s">
        <v>211</v>
      </c>
      <c r="C442" s="2" t="s">
        <v>16</v>
      </c>
      <c r="D442" s="2">
        <v>2557</v>
      </c>
      <c r="E442" s="2" t="s">
        <v>57</v>
      </c>
      <c r="F442" s="2" t="s">
        <v>455</v>
      </c>
      <c r="G442" s="2" t="s">
        <v>8</v>
      </c>
      <c r="H442" s="4">
        <v>200</v>
      </c>
      <c r="I442" s="4">
        <v>1896.78</v>
      </c>
    </row>
    <row r="443" spans="1:9" x14ac:dyDescent="0.35">
      <c r="B443" s="2" t="s">
        <v>214</v>
      </c>
      <c r="C443" s="2" t="s">
        <v>16</v>
      </c>
      <c r="D443" s="2">
        <v>2564</v>
      </c>
      <c r="E443" s="2" t="s">
        <v>161</v>
      </c>
      <c r="F443" s="2" t="s">
        <v>456</v>
      </c>
      <c r="G443" s="2" t="s">
        <v>8</v>
      </c>
      <c r="H443" s="4">
        <v>1538.75</v>
      </c>
      <c r="I443" s="4">
        <v>3435.53</v>
      </c>
    </row>
    <row r="444" spans="1:9" x14ac:dyDescent="0.35">
      <c r="B444" s="2" t="s">
        <v>219</v>
      </c>
      <c r="C444" s="2" t="s">
        <v>16</v>
      </c>
      <c r="D444" s="2">
        <v>2567</v>
      </c>
      <c r="E444" s="2" t="s">
        <v>57</v>
      </c>
      <c r="F444" s="2" t="s">
        <v>457</v>
      </c>
      <c r="G444" s="2" t="s">
        <v>8</v>
      </c>
      <c r="H444" s="4">
        <v>196.82</v>
      </c>
      <c r="I444" s="4">
        <v>3632.35</v>
      </c>
    </row>
    <row r="445" spans="1:9" x14ac:dyDescent="0.35">
      <c r="A445" s="174" t="s">
        <v>458</v>
      </c>
      <c r="H445" s="5">
        <v>3632.35</v>
      </c>
    </row>
    <row r="446" spans="1:9" x14ac:dyDescent="0.35">
      <c r="A446" s="174" t="s">
        <v>459</v>
      </c>
    </row>
    <row r="447" spans="1:9" x14ac:dyDescent="0.35">
      <c r="B447" s="2" t="s">
        <v>9</v>
      </c>
      <c r="C447" s="2" t="s">
        <v>10</v>
      </c>
      <c r="D447" s="2"/>
      <c r="E447" s="2"/>
      <c r="F447" s="2" t="s">
        <v>460</v>
      </c>
      <c r="G447" s="2" t="s">
        <v>8</v>
      </c>
      <c r="H447" s="4">
        <v>-20.100000000000001</v>
      </c>
      <c r="I447" s="4">
        <v>-20.100000000000001</v>
      </c>
    </row>
    <row r="448" spans="1:9" x14ac:dyDescent="0.35">
      <c r="B448" s="2" t="s">
        <v>221</v>
      </c>
      <c r="C448" s="2" t="s">
        <v>10</v>
      </c>
      <c r="D448" s="2"/>
      <c r="E448" s="2" t="s">
        <v>57</v>
      </c>
      <c r="F448" s="2" t="s">
        <v>461</v>
      </c>
      <c r="G448" s="2" t="s">
        <v>8</v>
      </c>
      <c r="H448" s="4">
        <v>-4215</v>
      </c>
      <c r="I448" s="4">
        <v>-4235.1000000000004</v>
      </c>
    </row>
    <row r="449" spans="1:9" x14ac:dyDescent="0.35">
      <c r="B449" s="2" t="s">
        <v>221</v>
      </c>
      <c r="C449" s="2" t="s">
        <v>10</v>
      </c>
      <c r="D449" s="2"/>
      <c r="E449" s="2"/>
      <c r="F449" s="2" t="s">
        <v>462</v>
      </c>
      <c r="G449" s="2" t="s">
        <v>8</v>
      </c>
      <c r="H449" s="4">
        <v>-45</v>
      </c>
      <c r="I449" s="4">
        <v>-4280.1000000000004</v>
      </c>
    </row>
    <row r="450" spans="1:9" x14ac:dyDescent="0.35">
      <c r="B450" s="2" t="s">
        <v>221</v>
      </c>
      <c r="C450" s="2" t="s">
        <v>10</v>
      </c>
      <c r="D450" s="2"/>
      <c r="E450" s="2"/>
      <c r="F450" s="2" t="s">
        <v>246</v>
      </c>
      <c r="G450" s="2" t="s">
        <v>8</v>
      </c>
      <c r="H450" s="4">
        <v>-200</v>
      </c>
      <c r="I450" s="4">
        <v>-4480.1000000000004</v>
      </c>
    </row>
    <row r="451" spans="1:9" x14ac:dyDescent="0.35">
      <c r="A451" s="174" t="s">
        <v>463</v>
      </c>
      <c r="H451" s="5">
        <v>-4480.1000000000004</v>
      </c>
    </row>
    <row r="452" spans="1:9" x14ac:dyDescent="0.35">
      <c r="A452" s="174" t="s">
        <v>464</v>
      </c>
      <c r="H452" s="5">
        <v>-847.75</v>
      </c>
    </row>
    <row r="453" spans="1:9" x14ac:dyDescent="0.35">
      <c r="A453" s="174" t="s">
        <v>465</v>
      </c>
    </row>
    <row r="454" spans="1:9" x14ac:dyDescent="0.35">
      <c r="A454" s="174" t="s">
        <v>466</v>
      </c>
    </row>
    <row r="455" spans="1:9" x14ac:dyDescent="0.35">
      <c r="B455" s="2" t="s">
        <v>37</v>
      </c>
      <c r="C455" s="2" t="s">
        <v>16</v>
      </c>
      <c r="D455" s="2">
        <v>2469</v>
      </c>
      <c r="E455" s="2" t="s">
        <v>38</v>
      </c>
      <c r="F455" s="2" t="s">
        <v>467</v>
      </c>
      <c r="G455" s="2" t="s">
        <v>8</v>
      </c>
      <c r="H455" s="4">
        <v>400</v>
      </c>
      <c r="I455" s="4">
        <v>400</v>
      </c>
    </row>
    <row r="456" spans="1:9" x14ac:dyDescent="0.35">
      <c r="B456" s="2" t="s">
        <v>59</v>
      </c>
      <c r="C456" s="2" t="s">
        <v>16</v>
      </c>
      <c r="D456" s="2">
        <v>2480</v>
      </c>
      <c r="E456" s="2" t="s">
        <v>60</v>
      </c>
      <c r="F456" s="2" t="s">
        <v>468</v>
      </c>
      <c r="G456" s="2" t="s">
        <v>8</v>
      </c>
      <c r="H456" s="4">
        <v>768</v>
      </c>
      <c r="I456" s="4">
        <v>1168</v>
      </c>
    </row>
    <row r="457" spans="1:9" x14ac:dyDescent="0.35">
      <c r="B457" s="2" t="s">
        <v>93</v>
      </c>
      <c r="C457" s="2" t="s">
        <v>16</v>
      </c>
      <c r="D457" s="2">
        <v>2491</v>
      </c>
      <c r="E457" s="2" t="s">
        <v>94</v>
      </c>
      <c r="F457" s="2" t="s">
        <v>469</v>
      </c>
      <c r="G457" s="2" t="s">
        <v>8</v>
      </c>
      <c r="H457" s="4">
        <v>200</v>
      </c>
      <c r="I457" s="4">
        <v>1368</v>
      </c>
    </row>
    <row r="458" spans="1:9" x14ac:dyDescent="0.35">
      <c r="B458" s="2" t="s">
        <v>95</v>
      </c>
      <c r="C458" s="2" t="s">
        <v>16</v>
      </c>
      <c r="D458" s="2">
        <v>2493</v>
      </c>
      <c r="E458" s="2" t="s">
        <v>99</v>
      </c>
      <c r="F458" s="2" t="s">
        <v>470</v>
      </c>
      <c r="G458" s="2" t="s">
        <v>8</v>
      </c>
      <c r="H458" s="4">
        <v>275</v>
      </c>
      <c r="I458" s="4">
        <v>1643</v>
      </c>
    </row>
    <row r="459" spans="1:9" x14ac:dyDescent="0.35">
      <c r="B459" s="2" t="s">
        <v>95</v>
      </c>
      <c r="C459" s="2" t="s">
        <v>16</v>
      </c>
      <c r="D459" s="2">
        <v>2494</v>
      </c>
      <c r="E459" s="2" t="s">
        <v>41</v>
      </c>
      <c r="F459" s="2" t="s">
        <v>471</v>
      </c>
      <c r="G459" s="2" t="s">
        <v>8</v>
      </c>
      <c r="H459" s="4">
        <v>600</v>
      </c>
      <c r="I459" s="4">
        <v>2243</v>
      </c>
    </row>
    <row r="460" spans="1:9" x14ac:dyDescent="0.35">
      <c r="B460" s="2" t="s">
        <v>120</v>
      </c>
      <c r="C460" s="2" t="s">
        <v>16</v>
      </c>
      <c r="D460" s="2">
        <v>2505</v>
      </c>
      <c r="E460" s="2" t="s">
        <v>122</v>
      </c>
      <c r="F460" s="2" t="s">
        <v>472</v>
      </c>
      <c r="G460" s="2" t="s">
        <v>8</v>
      </c>
      <c r="H460" s="4">
        <v>45.12</v>
      </c>
      <c r="I460" s="4">
        <v>2288.12</v>
      </c>
    </row>
    <row r="461" spans="1:9" x14ac:dyDescent="0.35">
      <c r="B461" s="2" t="s">
        <v>125</v>
      </c>
      <c r="C461" s="2" t="s">
        <v>16</v>
      </c>
      <c r="D461" s="2">
        <v>2511</v>
      </c>
      <c r="E461" s="2" t="s">
        <v>126</v>
      </c>
      <c r="F461" s="2" t="s">
        <v>473</v>
      </c>
      <c r="G461" s="2" t="s">
        <v>8</v>
      </c>
      <c r="H461" s="4">
        <v>425</v>
      </c>
      <c r="I461" s="4">
        <v>2713.12</v>
      </c>
    </row>
    <row r="462" spans="1:9" x14ac:dyDescent="0.35">
      <c r="B462" s="2" t="s">
        <v>125</v>
      </c>
      <c r="C462" s="2" t="s">
        <v>16</v>
      </c>
      <c r="D462" s="2">
        <v>2509</v>
      </c>
      <c r="E462" s="2" t="s">
        <v>94</v>
      </c>
      <c r="F462" s="2" t="s">
        <v>242</v>
      </c>
      <c r="G462" s="2" t="s">
        <v>8</v>
      </c>
      <c r="H462" s="4">
        <v>200</v>
      </c>
      <c r="I462" s="4">
        <v>2913.12</v>
      </c>
    </row>
    <row r="463" spans="1:9" x14ac:dyDescent="0.35">
      <c r="B463" s="2" t="s">
        <v>125</v>
      </c>
      <c r="C463" s="2" t="s">
        <v>16</v>
      </c>
      <c r="D463" s="2">
        <v>2510</v>
      </c>
      <c r="E463" s="2" t="s">
        <v>41</v>
      </c>
      <c r="F463" s="2" t="s">
        <v>474</v>
      </c>
      <c r="G463" s="2" t="s">
        <v>8</v>
      </c>
      <c r="H463" s="4">
        <v>600</v>
      </c>
      <c r="I463" s="4">
        <v>3513.12</v>
      </c>
    </row>
    <row r="464" spans="1:9" x14ac:dyDescent="0.35">
      <c r="B464" s="2" t="s">
        <v>135</v>
      </c>
      <c r="C464" s="2" t="s">
        <v>16</v>
      </c>
      <c r="D464" s="2">
        <v>2515</v>
      </c>
      <c r="E464" s="2" t="s">
        <v>60</v>
      </c>
      <c r="F464" s="2" t="s">
        <v>475</v>
      </c>
      <c r="G464" s="2" t="s">
        <v>8</v>
      </c>
      <c r="H464" s="4">
        <v>31.73</v>
      </c>
      <c r="I464" s="4">
        <v>3544.85</v>
      </c>
    </row>
    <row r="465" spans="1:9" x14ac:dyDescent="0.35">
      <c r="B465" s="2" t="s">
        <v>139</v>
      </c>
      <c r="C465" s="2" t="s">
        <v>16</v>
      </c>
      <c r="D465" s="2">
        <v>2518</v>
      </c>
      <c r="E465" s="2" t="s">
        <v>94</v>
      </c>
      <c r="F465" s="2" t="s">
        <v>476</v>
      </c>
      <c r="G465" s="2" t="s">
        <v>8</v>
      </c>
      <c r="H465" s="4">
        <v>0</v>
      </c>
      <c r="I465" s="4">
        <v>3544.85</v>
      </c>
    </row>
    <row r="466" spans="1:9" x14ac:dyDescent="0.35">
      <c r="B466" s="2" t="s">
        <v>145</v>
      </c>
      <c r="C466" s="2" t="s">
        <v>16</v>
      </c>
      <c r="D466" s="2">
        <v>2519</v>
      </c>
      <c r="E466" s="2" t="s">
        <v>99</v>
      </c>
      <c r="F466" s="2" t="s">
        <v>477</v>
      </c>
      <c r="G466" s="2" t="s">
        <v>8</v>
      </c>
      <c r="H466" s="4">
        <v>325</v>
      </c>
      <c r="I466" s="4">
        <v>3869.85</v>
      </c>
    </row>
    <row r="467" spans="1:9" x14ac:dyDescent="0.35">
      <c r="B467" s="2" t="s">
        <v>145</v>
      </c>
      <c r="C467" s="2" t="s">
        <v>16</v>
      </c>
      <c r="D467" s="2">
        <v>2520</v>
      </c>
      <c r="E467" s="2" t="s">
        <v>41</v>
      </c>
      <c r="F467" s="2" t="s">
        <v>478</v>
      </c>
      <c r="G467" s="2" t="s">
        <v>8</v>
      </c>
      <c r="H467" s="4">
        <v>600</v>
      </c>
      <c r="I467" s="4">
        <v>4469.8500000000004</v>
      </c>
    </row>
    <row r="468" spans="1:9" x14ac:dyDescent="0.35">
      <c r="A468" s="174" t="s">
        <v>479</v>
      </c>
      <c r="H468" s="5">
        <v>4469.8500000000004</v>
      </c>
    </row>
    <row r="469" spans="1:9" x14ac:dyDescent="0.35">
      <c r="A469" s="174" t="s">
        <v>480</v>
      </c>
    </row>
    <row r="470" spans="1:9" x14ac:dyDescent="0.35">
      <c r="B470" s="2" t="s">
        <v>100</v>
      </c>
      <c r="C470" s="2" t="s">
        <v>10</v>
      </c>
      <c r="D470" s="2"/>
      <c r="E470" s="2" t="s">
        <v>94</v>
      </c>
      <c r="F470" s="2" t="s">
        <v>481</v>
      </c>
      <c r="G470" s="2" t="s">
        <v>8</v>
      </c>
      <c r="H470" s="4">
        <v>-1327</v>
      </c>
      <c r="I470" s="4">
        <v>-1327</v>
      </c>
    </row>
    <row r="471" spans="1:9" x14ac:dyDescent="0.35">
      <c r="B471" s="2" t="s">
        <v>127</v>
      </c>
      <c r="C471" s="2" t="s">
        <v>10</v>
      </c>
      <c r="D471" s="2"/>
      <c r="E471" s="2"/>
      <c r="F471" s="2" t="s">
        <v>482</v>
      </c>
      <c r="G471" s="2" t="s">
        <v>8</v>
      </c>
      <c r="H471" s="4">
        <v>-50</v>
      </c>
      <c r="I471" s="4">
        <v>-1377</v>
      </c>
    </row>
    <row r="472" spans="1:9" x14ac:dyDescent="0.35">
      <c r="B472" s="2" t="s">
        <v>127</v>
      </c>
      <c r="C472" s="2" t="s">
        <v>10</v>
      </c>
      <c r="D472" s="2"/>
      <c r="E472" s="2" t="s">
        <v>57</v>
      </c>
      <c r="F472" s="2" t="s">
        <v>483</v>
      </c>
      <c r="G472" s="2" t="s">
        <v>8</v>
      </c>
      <c r="H472" s="4">
        <v>-1220</v>
      </c>
      <c r="I472" s="4">
        <v>-2597</v>
      </c>
    </row>
    <row r="473" spans="1:9" x14ac:dyDescent="0.35">
      <c r="B473" s="2" t="s">
        <v>129</v>
      </c>
      <c r="C473" s="2" t="s">
        <v>10</v>
      </c>
      <c r="D473" s="2"/>
      <c r="E473" s="2"/>
      <c r="F473" s="2" t="s">
        <v>484</v>
      </c>
      <c r="G473" s="2" t="s">
        <v>8</v>
      </c>
      <c r="H473" s="4">
        <v>-15</v>
      </c>
      <c r="I473" s="4">
        <v>-2612</v>
      </c>
    </row>
    <row r="474" spans="1:9" x14ac:dyDescent="0.35">
      <c r="B474" s="2" t="s">
        <v>146</v>
      </c>
      <c r="C474" s="2" t="s">
        <v>10</v>
      </c>
      <c r="D474" s="2"/>
      <c r="E474" s="2"/>
      <c r="F474" s="2" t="s">
        <v>485</v>
      </c>
      <c r="G474" s="2" t="s">
        <v>8</v>
      </c>
      <c r="H474" s="4">
        <v>-45</v>
      </c>
      <c r="I474" s="4">
        <v>-2657</v>
      </c>
    </row>
    <row r="475" spans="1:9" x14ac:dyDescent="0.35">
      <c r="B475" s="2" t="s">
        <v>147</v>
      </c>
      <c r="C475" s="2" t="s">
        <v>10</v>
      </c>
      <c r="D475" s="2"/>
      <c r="E475" s="2" t="s">
        <v>60</v>
      </c>
      <c r="F475" s="2" t="s">
        <v>482</v>
      </c>
      <c r="G475" s="2" t="s">
        <v>8</v>
      </c>
      <c r="H475" s="4">
        <v>-960</v>
      </c>
      <c r="I475" s="4">
        <v>-3617</v>
      </c>
    </row>
    <row r="476" spans="1:9" x14ac:dyDescent="0.35">
      <c r="A476" s="174" t="s">
        <v>486</v>
      </c>
      <c r="H476" s="5">
        <v>-3617</v>
      </c>
    </row>
    <row r="477" spans="1:9" x14ac:dyDescent="0.35">
      <c r="A477" s="174" t="s">
        <v>487</v>
      </c>
    </row>
    <row r="478" spans="1:9" x14ac:dyDescent="0.35">
      <c r="B478" s="2" t="s">
        <v>86</v>
      </c>
      <c r="C478" s="2" t="s">
        <v>10</v>
      </c>
      <c r="D478" s="2"/>
      <c r="E478" s="2" t="s">
        <v>38</v>
      </c>
      <c r="F478" s="2" t="s">
        <v>488</v>
      </c>
      <c r="G478" s="2" t="s">
        <v>8</v>
      </c>
      <c r="H478" s="4">
        <v>-400</v>
      </c>
      <c r="I478" s="4">
        <v>-400</v>
      </c>
    </row>
    <row r="479" spans="1:9" x14ac:dyDescent="0.35">
      <c r="B479" s="2" t="s">
        <v>100</v>
      </c>
      <c r="C479" s="2" t="s">
        <v>10</v>
      </c>
      <c r="D479" s="2"/>
      <c r="E479" s="2" t="s">
        <v>94</v>
      </c>
      <c r="F479" s="2" t="s">
        <v>246</v>
      </c>
      <c r="G479" s="2" t="s">
        <v>8</v>
      </c>
      <c r="H479" s="4">
        <v>-200</v>
      </c>
      <c r="I479" s="4">
        <v>-600</v>
      </c>
    </row>
    <row r="480" spans="1:9" x14ac:dyDescent="0.35">
      <c r="B480" s="2" t="s">
        <v>127</v>
      </c>
      <c r="C480" s="2" t="s">
        <v>10</v>
      </c>
      <c r="D480" s="2"/>
      <c r="E480" s="2" t="s">
        <v>57</v>
      </c>
      <c r="F480" s="2" t="s">
        <v>489</v>
      </c>
      <c r="G480" s="2" t="s">
        <v>8</v>
      </c>
      <c r="H480" s="4">
        <v>-200</v>
      </c>
      <c r="I480" s="4">
        <v>-800</v>
      </c>
    </row>
    <row r="481" spans="1:9" x14ac:dyDescent="0.35">
      <c r="B481" s="2" t="s">
        <v>147</v>
      </c>
      <c r="C481" s="2" t="s">
        <v>10</v>
      </c>
      <c r="D481" s="2"/>
      <c r="E481" s="2" t="s">
        <v>60</v>
      </c>
      <c r="F481" s="2" t="s">
        <v>490</v>
      </c>
      <c r="G481" s="2" t="s">
        <v>8</v>
      </c>
      <c r="H481" s="4">
        <v>-357</v>
      </c>
      <c r="I481" s="4">
        <v>-1157</v>
      </c>
    </row>
    <row r="482" spans="1:9" x14ac:dyDescent="0.35">
      <c r="A482" s="174" t="s">
        <v>491</v>
      </c>
      <c r="H482" s="5">
        <v>-1157</v>
      </c>
    </row>
    <row r="483" spans="1:9" x14ac:dyDescent="0.35">
      <c r="A483" s="174" t="s">
        <v>492</v>
      </c>
      <c r="H483" s="5">
        <v>-304.14999999999998</v>
      </c>
    </row>
    <row r="484" spans="1:9" x14ac:dyDescent="0.35">
      <c r="A484" s="174" t="s">
        <v>493</v>
      </c>
    </row>
    <row r="485" spans="1:9" x14ac:dyDescent="0.35">
      <c r="A485" s="174" t="s">
        <v>494</v>
      </c>
    </row>
    <row r="486" spans="1:9" x14ac:dyDescent="0.35">
      <c r="B486" s="2" t="s">
        <v>155</v>
      </c>
      <c r="C486" s="2" t="s">
        <v>16</v>
      </c>
      <c r="D486" s="2">
        <v>2523</v>
      </c>
      <c r="E486" s="2" t="s">
        <v>156</v>
      </c>
      <c r="F486" s="2" t="s">
        <v>495</v>
      </c>
      <c r="G486" s="2" t="s">
        <v>8</v>
      </c>
      <c r="H486" s="4">
        <v>50</v>
      </c>
      <c r="I486" s="4">
        <v>50</v>
      </c>
    </row>
    <row r="487" spans="1:9" x14ac:dyDescent="0.35">
      <c r="B487" s="2" t="s">
        <v>167</v>
      </c>
      <c r="C487" s="2" t="s">
        <v>16</v>
      </c>
      <c r="D487" s="2">
        <v>2530</v>
      </c>
      <c r="E487" s="2" t="s">
        <v>94</v>
      </c>
      <c r="F487" s="2" t="s">
        <v>242</v>
      </c>
      <c r="G487" s="2" t="s">
        <v>8</v>
      </c>
      <c r="H487" s="4">
        <v>200</v>
      </c>
      <c r="I487" s="4">
        <v>250</v>
      </c>
    </row>
    <row r="488" spans="1:9" x14ac:dyDescent="0.35">
      <c r="B488" s="2" t="s">
        <v>171</v>
      </c>
      <c r="C488" s="2" t="s">
        <v>16</v>
      </c>
      <c r="D488" s="2">
        <v>2535</v>
      </c>
      <c r="E488" s="2" t="s">
        <v>94</v>
      </c>
      <c r="F488" s="2" t="s">
        <v>496</v>
      </c>
      <c r="G488" s="2" t="s">
        <v>8</v>
      </c>
      <c r="H488" s="4">
        <v>578.65</v>
      </c>
      <c r="I488" s="4">
        <v>828.65</v>
      </c>
    </row>
    <row r="489" spans="1:9" x14ac:dyDescent="0.35">
      <c r="B489" s="2" t="s">
        <v>171</v>
      </c>
      <c r="C489" s="2" t="s">
        <v>16</v>
      </c>
      <c r="D489" s="2">
        <v>2534</v>
      </c>
      <c r="E489" s="2" t="s">
        <v>172</v>
      </c>
      <c r="F489" s="2" t="s">
        <v>497</v>
      </c>
      <c r="G489" s="2" t="s">
        <v>8</v>
      </c>
      <c r="H489" s="4">
        <v>199.86</v>
      </c>
      <c r="I489" s="4">
        <v>1028.51</v>
      </c>
    </row>
    <row r="490" spans="1:9" x14ac:dyDescent="0.35">
      <c r="A490" s="174" t="s">
        <v>498</v>
      </c>
      <c r="H490" s="5">
        <v>1028.51</v>
      </c>
    </row>
    <row r="491" spans="1:9" x14ac:dyDescent="0.35">
      <c r="A491" s="174" t="s">
        <v>499</v>
      </c>
    </row>
    <row r="492" spans="1:9" x14ac:dyDescent="0.35">
      <c r="B492" s="2" t="s">
        <v>168</v>
      </c>
      <c r="C492" s="2" t="s">
        <v>10</v>
      </c>
      <c r="D492" s="2"/>
      <c r="E492" s="2" t="s">
        <v>60</v>
      </c>
      <c r="F492" s="2" t="s">
        <v>500</v>
      </c>
      <c r="G492" s="2" t="s">
        <v>8</v>
      </c>
      <c r="H492" s="4">
        <v>-568</v>
      </c>
      <c r="I492" s="4">
        <v>-568</v>
      </c>
    </row>
    <row r="493" spans="1:9" x14ac:dyDescent="0.35">
      <c r="B493" s="2" t="s">
        <v>168</v>
      </c>
      <c r="C493" s="2" t="s">
        <v>10</v>
      </c>
      <c r="D493" s="2"/>
      <c r="E493" s="2" t="s">
        <v>60</v>
      </c>
      <c r="F493" s="2" t="s">
        <v>242</v>
      </c>
      <c r="G493" s="2" t="s">
        <v>8</v>
      </c>
      <c r="H493" s="4">
        <v>-200</v>
      </c>
      <c r="I493" s="4">
        <v>-768</v>
      </c>
    </row>
    <row r="494" spans="1:9" x14ac:dyDescent="0.35">
      <c r="A494" s="174" t="s">
        <v>501</v>
      </c>
      <c r="H494" s="5">
        <v>-768</v>
      </c>
    </row>
    <row r="495" spans="1:9" x14ac:dyDescent="0.35">
      <c r="A495" s="174" t="s">
        <v>502</v>
      </c>
      <c r="H495" s="5">
        <v>260.51</v>
      </c>
    </row>
    <row r="496" spans="1:9" x14ac:dyDescent="0.35">
      <c r="A496" s="174" t="s">
        <v>503</v>
      </c>
    </row>
    <row r="497" spans="1:9" x14ac:dyDescent="0.35">
      <c r="B497" s="2" t="s">
        <v>221</v>
      </c>
      <c r="C497" s="2" t="s">
        <v>16</v>
      </c>
      <c r="D497" s="2">
        <v>2569</v>
      </c>
      <c r="E497" s="2" t="s">
        <v>225</v>
      </c>
      <c r="F497" s="2" t="s">
        <v>504</v>
      </c>
      <c r="G497" s="2" t="s">
        <v>8</v>
      </c>
      <c r="H497" s="4">
        <v>395.25</v>
      </c>
      <c r="I497" s="4">
        <v>395.25</v>
      </c>
    </row>
    <row r="498" spans="1:9" x14ac:dyDescent="0.35">
      <c r="B498" s="2" t="s">
        <v>228</v>
      </c>
      <c r="C498" s="2" t="s">
        <v>16</v>
      </c>
      <c r="D498" s="2">
        <v>2572</v>
      </c>
      <c r="E498" s="2" t="s">
        <v>230</v>
      </c>
      <c r="F498" s="2" t="s">
        <v>505</v>
      </c>
      <c r="G498" s="2" t="s">
        <v>8</v>
      </c>
      <c r="H498" s="4">
        <v>219.96</v>
      </c>
      <c r="I498" s="4">
        <v>615.21</v>
      </c>
    </row>
    <row r="499" spans="1:9" x14ac:dyDescent="0.35">
      <c r="A499" s="174" t="s">
        <v>506</v>
      </c>
      <c r="H499" s="5">
        <v>615.21</v>
      </c>
    </row>
    <row r="500" spans="1:9" x14ac:dyDescent="0.35">
      <c r="A500" s="174" t="s">
        <v>507</v>
      </c>
    </row>
    <row r="501" spans="1:9" x14ac:dyDescent="0.35">
      <c r="A501" s="174" t="s">
        <v>508</v>
      </c>
    </row>
    <row r="502" spans="1:9" x14ac:dyDescent="0.35">
      <c r="B502" s="2" t="s">
        <v>100</v>
      </c>
      <c r="C502" s="2" t="s">
        <v>16</v>
      </c>
      <c r="D502" s="2">
        <v>2498</v>
      </c>
      <c r="E502" s="2" t="s">
        <v>105</v>
      </c>
      <c r="F502" s="2" t="s">
        <v>509</v>
      </c>
      <c r="G502" s="2" t="s">
        <v>8</v>
      </c>
      <c r="H502" s="4">
        <v>1036</v>
      </c>
      <c r="I502" s="4">
        <v>1036</v>
      </c>
    </row>
    <row r="503" spans="1:9" x14ac:dyDescent="0.35">
      <c r="A503" s="174" t="s">
        <v>510</v>
      </c>
      <c r="H503" s="5">
        <v>1036</v>
      </c>
    </row>
    <row r="504" spans="1:9" x14ac:dyDescent="0.35">
      <c r="A504" s="174" t="s">
        <v>511</v>
      </c>
    </row>
    <row r="505" spans="1:9" x14ac:dyDescent="0.35">
      <c r="B505" s="2" t="s">
        <v>100</v>
      </c>
      <c r="C505" s="2" t="s">
        <v>10</v>
      </c>
      <c r="D505" s="2"/>
      <c r="E505" s="2" t="s">
        <v>105</v>
      </c>
      <c r="F505" s="2" t="s">
        <v>512</v>
      </c>
      <c r="G505" s="2" t="s">
        <v>8</v>
      </c>
      <c r="H505" s="4">
        <v>-727</v>
      </c>
      <c r="I505" s="4">
        <v>-727</v>
      </c>
    </row>
    <row r="506" spans="1:9" x14ac:dyDescent="0.35">
      <c r="A506" s="174" t="s">
        <v>513</v>
      </c>
      <c r="H506" s="5">
        <v>-727</v>
      </c>
    </row>
    <row r="507" spans="1:9" x14ac:dyDescent="0.35">
      <c r="A507" s="174" t="s">
        <v>514</v>
      </c>
      <c r="H507" s="5">
        <v>309</v>
      </c>
    </row>
    <row r="508" spans="1:9" x14ac:dyDescent="0.35">
      <c r="A508" s="174" t="s">
        <v>515</v>
      </c>
    </row>
    <row r="509" spans="1:9" x14ac:dyDescent="0.35">
      <c r="B509" s="2" t="s">
        <v>201</v>
      </c>
      <c r="C509" s="2" t="s">
        <v>16</v>
      </c>
      <c r="D509" s="2">
        <v>2551</v>
      </c>
      <c r="E509" s="2" t="s">
        <v>202</v>
      </c>
      <c r="F509" s="2" t="s">
        <v>516</v>
      </c>
      <c r="G509" s="2" t="s">
        <v>8</v>
      </c>
      <c r="H509" s="4">
        <v>183.96</v>
      </c>
      <c r="I509" s="4">
        <v>183.96</v>
      </c>
    </row>
    <row r="510" spans="1:9" x14ac:dyDescent="0.35">
      <c r="B510" s="2" t="s">
        <v>201</v>
      </c>
      <c r="C510" s="2" t="s">
        <v>16</v>
      </c>
      <c r="D510" s="2">
        <v>2553</v>
      </c>
      <c r="E510" s="2" t="s">
        <v>204</v>
      </c>
      <c r="F510" s="2" t="s">
        <v>517</v>
      </c>
      <c r="G510" s="2" t="s">
        <v>8</v>
      </c>
      <c r="H510" s="4">
        <v>487.61</v>
      </c>
      <c r="I510" s="4">
        <v>671.57</v>
      </c>
    </row>
    <row r="511" spans="1:9" x14ac:dyDescent="0.35">
      <c r="A511" s="174" t="s">
        <v>518</v>
      </c>
      <c r="H511" s="5">
        <v>671.57</v>
      </c>
    </row>
    <row r="512" spans="1:9" x14ac:dyDescent="0.35">
      <c r="A512" s="174" t="s">
        <v>519</v>
      </c>
    </row>
    <row r="513" spans="1:9" x14ac:dyDescent="0.35">
      <c r="B513" s="2" t="s">
        <v>171</v>
      </c>
      <c r="C513" s="2" t="s">
        <v>16</v>
      </c>
      <c r="D513" s="2">
        <v>2533</v>
      </c>
      <c r="E513" s="2" t="s">
        <v>172</v>
      </c>
      <c r="F513" s="2" t="s">
        <v>520</v>
      </c>
      <c r="G513" s="2" t="s">
        <v>8</v>
      </c>
      <c r="H513" s="4">
        <v>31.8</v>
      </c>
      <c r="I513" s="4">
        <v>31.8</v>
      </c>
    </row>
    <row r="514" spans="1:9" x14ac:dyDescent="0.35">
      <c r="B514" s="2" t="s">
        <v>174</v>
      </c>
      <c r="C514" s="2" t="s">
        <v>16</v>
      </c>
      <c r="D514" s="2">
        <v>2536</v>
      </c>
      <c r="E514" s="2" t="s">
        <v>175</v>
      </c>
      <c r="F514" s="2" t="s">
        <v>521</v>
      </c>
      <c r="G514" s="2" t="s">
        <v>8</v>
      </c>
      <c r="H514" s="4">
        <v>310.99</v>
      </c>
      <c r="I514" s="4">
        <v>342.79</v>
      </c>
    </row>
    <row r="515" spans="1:9" x14ac:dyDescent="0.35">
      <c r="A515" s="174" t="s">
        <v>522</v>
      </c>
      <c r="H515" s="5">
        <v>342.79</v>
      </c>
    </row>
    <row r="516" spans="1:9" x14ac:dyDescent="0.35">
      <c r="A516" s="174" t="s">
        <v>523</v>
      </c>
    </row>
    <row r="517" spans="1:9" x14ac:dyDescent="0.35">
      <c r="B517" s="2" t="s">
        <v>142</v>
      </c>
      <c r="C517" s="2" t="s">
        <v>10</v>
      </c>
      <c r="D517" s="2"/>
      <c r="E517" s="2" t="s">
        <v>143</v>
      </c>
      <c r="F517" s="2" t="s">
        <v>524</v>
      </c>
      <c r="G517" s="2" t="s">
        <v>8</v>
      </c>
      <c r="H517" s="4">
        <v>-66</v>
      </c>
      <c r="I517" s="4">
        <v>-66</v>
      </c>
    </row>
    <row r="518" spans="1:9" x14ac:dyDescent="0.35">
      <c r="B518" s="2" t="s">
        <v>153</v>
      </c>
      <c r="C518" s="2" t="s">
        <v>16</v>
      </c>
      <c r="D518" s="2">
        <v>2522</v>
      </c>
      <c r="E518" s="2" t="s">
        <v>143</v>
      </c>
      <c r="F518" s="2" t="s">
        <v>525</v>
      </c>
      <c r="G518" s="2" t="s">
        <v>8</v>
      </c>
      <c r="H518" s="4">
        <v>300.36</v>
      </c>
      <c r="I518" s="4">
        <v>234.36</v>
      </c>
    </row>
    <row r="519" spans="1:9" x14ac:dyDescent="0.35">
      <c r="A519" s="174" t="s">
        <v>526</v>
      </c>
      <c r="H519" s="5">
        <v>234.36</v>
      </c>
    </row>
    <row r="520" spans="1:9" x14ac:dyDescent="0.35">
      <c r="A520" s="174" t="s">
        <v>527</v>
      </c>
    </row>
    <row r="521" spans="1:9" x14ac:dyDescent="0.35">
      <c r="B521" s="2" t="s">
        <v>77</v>
      </c>
      <c r="C521" s="2" t="s">
        <v>16</v>
      </c>
      <c r="D521" s="2">
        <v>2485</v>
      </c>
      <c r="E521" s="2" t="s">
        <v>78</v>
      </c>
      <c r="F521" s="2" t="s">
        <v>528</v>
      </c>
      <c r="G521" s="2" t="s">
        <v>8</v>
      </c>
      <c r="H521" s="4">
        <v>12.98</v>
      </c>
      <c r="I521" s="4">
        <v>12.98</v>
      </c>
    </row>
    <row r="522" spans="1:9" x14ac:dyDescent="0.35">
      <c r="B522" s="2" t="s">
        <v>82</v>
      </c>
      <c r="C522" s="2" t="s">
        <v>16</v>
      </c>
      <c r="D522" s="2">
        <v>2488</v>
      </c>
      <c r="E522" s="2" t="s">
        <v>78</v>
      </c>
      <c r="F522" s="2" t="s">
        <v>529</v>
      </c>
      <c r="G522" s="2" t="s">
        <v>8</v>
      </c>
      <c r="H522" s="4">
        <v>15.47</v>
      </c>
      <c r="I522" s="4">
        <v>28.45</v>
      </c>
    </row>
    <row r="523" spans="1:9" x14ac:dyDescent="0.35">
      <c r="B523" s="2" t="s">
        <v>82</v>
      </c>
      <c r="C523" s="2" t="s">
        <v>16</v>
      </c>
      <c r="D523" s="2">
        <v>2487</v>
      </c>
      <c r="E523" s="2" t="s">
        <v>83</v>
      </c>
      <c r="F523" s="2" t="s">
        <v>529</v>
      </c>
      <c r="G523" s="2" t="s">
        <v>8</v>
      </c>
      <c r="H523" s="4">
        <v>19.829999999999998</v>
      </c>
      <c r="I523" s="4">
        <v>48.28</v>
      </c>
    </row>
    <row r="524" spans="1:9" x14ac:dyDescent="0.35">
      <c r="A524" s="174" t="s">
        <v>530</v>
      </c>
      <c r="H524" s="5">
        <v>48.28</v>
      </c>
    </row>
    <row r="525" spans="1:9" x14ac:dyDescent="0.35">
      <c r="A525" s="174" t="s">
        <v>531</v>
      </c>
    </row>
    <row r="526" spans="1:9" x14ac:dyDescent="0.35">
      <c r="B526" s="2" t="s">
        <v>59</v>
      </c>
      <c r="C526" s="2" t="s">
        <v>16</v>
      </c>
      <c r="D526" s="2">
        <v>2480</v>
      </c>
      <c r="E526" s="2" t="s">
        <v>60</v>
      </c>
      <c r="F526" s="2" t="s">
        <v>532</v>
      </c>
      <c r="G526" s="2" t="s">
        <v>8</v>
      </c>
      <c r="H526" s="4">
        <v>21</v>
      </c>
      <c r="I526" s="4">
        <v>21</v>
      </c>
    </row>
    <row r="527" spans="1:9" x14ac:dyDescent="0.35">
      <c r="B527" s="2" t="s">
        <v>177</v>
      </c>
      <c r="C527" s="2" t="s">
        <v>10</v>
      </c>
      <c r="D527" s="2"/>
      <c r="E527" s="2" t="s">
        <v>178</v>
      </c>
      <c r="F527" s="2" t="s">
        <v>533</v>
      </c>
      <c r="G527" s="2" t="s">
        <v>8</v>
      </c>
      <c r="H527" s="4">
        <v>-229</v>
      </c>
      <c r="I527" s="4">
        <v>-208</v>
      </c>
    </row>
    <row r="528" spans="1:9" x14ac:dyDescent="0.35">
      <c r="B528" s="2" t="s">
        <v>180</v>
      </c>
      <c r="C528" s="2" t="s">
        <v>16</v>
      </c>
      <c r="D528" s="2">
        <v>2537</v>
      </c>
      <c r="E528" s="2" t="s">
        <v>178</v>
      </c>
      <c r="F528" s="2" t="s">
        <v>534</v>
      </c>
      <c r="G528" s="2" t="s">
        <v>8</v>
      </c>
      <c r="H528" s="4">
        <v>234</v>
      </c>
      <c r="I528" s="4">
        <v>26</v>
      </c>
    </row>
    <row r="529" spans="1:9" x14ac:dyDescent="0.35">
      <c r="B529" s="2" t="s">
        <v>207</v>
      </c>
      <c r="C529" s="2" t="s">
        <v>10</v>
      </c>
      <c r="D529" s="2"/>
      <c r="E529" s="2" t="s">
        <v>208</v>
      </c>
      <c r="F529" s="2" t="s">
        <v>535</v>
      </c>
      <c r="G529" s="2" t="s">
        <v>8</v>
      </c>
      <c r="H529" s="4">
        <v>-306</v>
      </c>
      <c r="I529" s="4">
        <v>-280</v>
      </c>
    </row>
    <row r="530" spans="1:9" x14ac:dyDescent="0.35">
      <c r="B530" s="2" t="s">
        <v>211</v>
      </c>
      <c r="C530" s="2" t="s">
        <v>16</v>
      </c>
      <c r="D530" s="2">
        <v>2559</v>
      </c>
      <c r="E530" s="2" t="s">
        <v>208</v>
      </c>
      <c r="F530" s="2" t="s">
        <v>536</v>
      </c>
      <c r="G530" s="2" t="s">
        <v>8</v>
      </c>
      <c r="H530" s="4">
        <v>242.7</v>
      </c>
      <c r="I530" s="4">
        <v>-37.299999999999997</v>
      </c>
    </row>
    <row r="531" spans="1:9" x14ac:dyDescent="0.35">
      <c r="B531" s="2" t="s">
        <v>232</v>
      </c>
      <c r="C531" s="2" t="s">
        <v>16</v>
      </c>
      <c r="D531" s="2">
        <v>2580</v>
      </c>
      <c r="E531" s="2" t="s">
        <v>233</v>
      </c>
      <c r="F531" s="2" t="s">
        <v>537</v>
      </c>
      <c r="G531" s="2" t="s">
        <v>8</v>
      </c>
      <c r="H531" s="4">
        <v>183.34</v>
      </c>
      <c r="I531" s="4">
        <v>146.04</v>
      </c>
    </row>
    <row r="532" spans="1:9" x14ac:dyDescent="0.35">
      <c r="A532" s="174" t="s">
        <v>538</v>
      </c>
      <c r="H532" s="5">
        <v>146.04</v>
      </c>
    </row>
    <row r="533" spans="1:9" x14ac:dyDescent="0.35">
      <c r="A533" s="174" t="s">
        <v>539</v>
      </c>
    </row>
    <row r="534" spans="1:9" x14ac:dyDescent="0.35">
      <c r="B534" s="2" t="s">
        <v>221</v>
      </c>
      <c r="C534" s="2" t="s">
        <v>16</v>
      </c>
      <c r="D534" s="2">
        <v>2568</v>
      </c>
      <c r="E534" s="2" t="s">
        <v>223</v>
      </c>
      <c r="F534" s="2" t="s">
        <v>540</v>
      </c>
      <c r="G534" s="2" t="s">
        <v>8</v>
      </c>
      <c r="H534" s="4">
        <v>68.7</v>
      </c>
      <c r="I534" s="4">
        <v>68.7</v>
      </c>
    </row>
    <row r="535" spans="1:9" x14ac:dyDescent="0.35">
      <c r="A535" s="174" t="s">
        <v>541</v>
      </c>
      <c r="H535" s="5">
        <v>68.7</v>
      </c>
    </row>
    <row r="536" spans="1:9" x14ac:dyDescent="0.35">
      <c r="A536" s="174" t="s">
        <v>542</v>
      </c>
      <c r="H536" s="5">
        <v>1483.16</v>
      </c>
    </row>
    <row r="537" spans="1:9" x14ac:dyDescent="0.35">
      <c r="A537" s="174" t="s">
        <v>543</v>
      </c>
    </row>
    <row r="538" spans="1:9" x14ac:dyDescent="0.35">
      <c r="A538" s="174" t="s">
        <v>544</v>
      </c>
    </row>
    <row r="539" spans="1:9" x14ac:dyDescent="0.35">
      <c r="B539" s="2" t="s">
        <v>135</v>
      </c>
      <c r="C539" s="2" t="s">
        <v>16</v>
      </c>
      <c r="D539" s="2">
        <v>2515</v>
      </c>
      <c r="E539" s="2" t="s">
        <v>60</v>
      </c>
      <c r="F539" s="2" t="s">
        <v>545</v>
      </c>
      <c r="G539" s="2" t="s">
        <v>8</v>
      </c>
      <c r="H539" s="4">
        <v>1000</v>
      </c>
      <c r="I539" s="4">
        <v>1000</v>
      </c>
    </row>
    <row r="540" spans="1:9" x14ac:dyDescent="0.35">
      <c r="B540" s="2" t="s">
        <v>232</v>
      </c>
      <c r="C540" s="2" t="s">
        <v>16</v>
      </c>
      <c r="D540" s="2">
        <v>2579</v>
      </c>
      <c r="E540" s="2" t="s">
        <v>60</v>
      </c>
      <c r="F540" s="2" t="s">
        <v>546</v>
      </c>
      <c r="G540" s="2" t="s">
        <v>8</v>
      </c>
      <c r="H540" s="4">
        <v>956.4</v>
      </c>
      <c r="I540" s="4">
        <v>1956.4</v>
      </c>
    </row>
    <row r="541" spans="1:9" x14ac:dyDescent="0.35">
      <c r="A541" s="174" t="s">
        <v>547</v>
      </c>
      <c r="H541" s="5">
        <v>1956.4</v>
      </c>
    </row>
    <row r="542" spans="1:9" x14ac:dyDescent="0.35">
      <c r="A542" s="174" t="s">
        <v>548</v>
      </c>
    </row>
    <row r="543" spans="1:9" x14ac:dyDescent="0.35">
      <c r="A543" s="174" t="s">
        <v>549</v>
      </c>
    </row>
    <row r="544" spans="1:9" x14ac:dyDescent="0.35">
      <c r="B544" s="2" t="s">
        <v>182</v>
      </c>
      <c r="C544" s="2" t="s">
        <v>16</v>
      </c>
      <c r="D544" s="2">
        <v>2538</v>
      </c>
      <c r="E544" s="2" t="s">
        <v>131</v>
      </c>
      <c r="F544" s="2" t="s">
        <v>550</v>
      </c>
      <c r="G544" s="2" t="s">
        <v>8</v>
      </c>
      <c r="H544" s="4">
        <v>1426.56</v>
      </c>
      <c r="I544" s="4">
        <v>1426.56</v>
      </c>
    </row>
    <row r="545" spans="1:9" x14ac:dyDescent="0.35">
      <c r="B545" s="2" t="s">
        <v>207</v>
      </c>
      <c r="C545" s="2" t="s">
        <v>16</v>
      </c>
      <c r="D545" s="2">
        <v>2556</v>
      </c>
      <c r="E545" s="2" t="s">
        <v>57</v>
      </c>
      <c r="F545" s="2" t="s">
        <v>551</v>
      </c>
      <c r="G545" s="2" t="s">
        <v>8</v>
      </c>
      <c r="H545" s="4">
        <v>64.95</v>
      </c>
      <c r="I545" s="4">
        <v>1491.51</v>
      </c>
    </row>
    <row r="546" spans="1:9" x14ac:dyDescent="0.35">
      <c r="A546" s="174" t="s">
        <v>552</v>
      </c>
      <c r="H546" s="5">
        <v>1491.51</v>
      </c>
    </row>
    <row r="547" spans="1:9" x14ac:dyDescent="0.35">
      <c r="A547" s="174" t="s">
        <v>553</v>
      </c>
    </row>
    <row r="548" spans="1:9" x14ac:dyDescent="0.35">
      <c r="B548" s="2" t="s">
        <v>188</v>
      </c>
      <c r="C548" s="2" t="s">
        <v>10</v>
      </c>
      <c r="D548" s="2"/>
      <c r="E548" s="2"/>
      <c r="F548" s="2" t="s">
        <v>554</v>
      </c>
      <c r="G548" s="2" t="s">
        <v>8</v>
      </c>
      <c r="H548" s="4">
        <v>-20</v>
      </c>
      <c r="I548" s="4">
        <v>-20</v>
      </c>
    </row>
    <row r="549" spans="1:9" x14ac:dyDescent="0.35">
      <c r="B549" s="2" t="s">
        <v>191</v>
      </c>
      <c r="C549" s="2" t="s">
        <v>10</v>
      </c>
      <c r="D549" s="2"/>
      <c r="E549" s="2"/>
      <c r="F549" s="2" t="s">
        <v>555</v>
      </c>
      <c r="G549" s="2" t="s">
        <v>8</v>
      </c>
      <c r="H549" s="4">
        <v>-55</v>
      </c>
      <c r="I549" s="4">
        <v>-75</v>
      </c>
    </row>
    <row r="550" spans="1:9" x14ac:dyDescent="0.35">
      <c r="A550" s="174" t="s">
        <v>556</v>
      </c>
      <c r="H550" s="5">
        <v>-75</v>
      </c>
    </row>
    <row r="551" spans="1:9" x14ac:dyDescent="0.35">
      <c r="A551" s="174" t="s">
        <v>557</v>
      </c>
      <c r="H551" s="5">
        <v>1416.51</v>
      </c>
    </row>
    <row r="552" spans="1:9" x14ac:dyDescent="0.35">
      <c r="A552" s="174" t="s">
        <v>558</v>
      </c>
    </row>
    <row r="553" spans="1:9" x14ac:dyDescent="0.35">
      <c r="A553" s="174" t="s">
        <v>559</v>
      </c>
    </row>
    <row r="554" spans="1:9" x14ac:dyDescent="0.35">
      <c r="B554" s="2" t="s">
        <v>20</v>
      </c>
      <c r="C554" s="2" t="s">
        <v>16</v>
      </c>
      <c r="D554" s="2">
        <v>2462</v>
      </c>
      <c r="E554" s="2" t="s">
        <v>21</v>
      </c>
      <c r="F554" s="2" t="s">
        <v>560</v>
      </c>
      <c r="G554" s="2" t="s">
        <v>8</v>
      </c>
      <c r="H554" s="4">
        <v>228</v>
      </c>
      <c r="I554" s="4">
        <v>228</v>
      </c>
    </row>
    <row r="555" spans="1:9" x14ac:dyDescent="0.35">
      <c r="A555" s="174" t="s">
        <v>561</v>
      </c>
      <c r="H555" s="5">
        <v>228</v>
      </c>
    </row>
    <row r="556" spans="1:9" x14ac:dyDescent="0.35">
      <c r="A556" s="174" t="s">
        <v>562</v>
      </c>
      <c r="H556" s="5">
        <v>228</v>
      </c>
    </row>
    <row r="557" spans="1:9" x14ac:dyDescent="0.35">
      <c r="A557" s="174" t="s">
        <v>563</v>
      </c>
    </row>
    <row r="558" spans="1:9" x14ac:dyDescent="0.35">
      <c r="A558" s="174" t="s">
        <v>564</v>
      </c>
    </row>
    <row r="559" spans="1:9" x14ac:dyDescent="0.35">
      <c r="B559" s="2" t="s">
        <v>130</v>
      </c>
      <c r="C559" s="2" t="s">
        <v>16</v>
      </c>
      <c r="D559" s="2">
        <v>2513</v>
      </c>
      <c r="E559" s="2" t="s">
        <v>131</v>
      </c>
      <c r="F559" s="2" t="s">
        <v>565</v>
      </c>
      <c r="G559" s="2" t="s">
        <v>8</v>
      </c>
      <c r="H559" s="4">
        <v>521.6</v>
      </c>
      <c r="I559" s="4">
        <v>521.6</v>
      </c>
    </row>
    <row r="560" spans="1:9" x14ac:dyDescent="0.35">
      <c r="A560" s="174" t="s">
        <v>566</v>
      </c>
      <c r="H560" s="5">
        <v>521.6</v>
      </c>
    </row>
    <row r="561" spans="1:9" x14ac:dyDescent="0.35">
      <c r="A561" s="174" t="s">
        <v>567</v>
      </c>
    </row>
    <row r="562" spans="1:9" x14ac:dyDescent="0.35">
      <c r="B562" s="2" t="s">
        <v>125</v>
      </c>
      <c r="C562" s="2" t="s">
        <v>10</v>
      </c>
      <c r="D562" s="2"/>
      <c r="E562" s="2"/>
      <c r="F562" s="2" t="s">
        <v>568</v>
      </c>
      <c r="G562" s="2" t="s">
        <v>8</v>
      </c>
      <c r="H562" s="4">
        <v>-20</v>
      </c>
      <c r="I562" s="4">
        <v>-20</v>
      </c>
    </row>
    <row r="563" spans="1:9" x14ac:dyDescent="0.35">
      <c r="B563" s="2" t="s">
        <v>128</v>
      </c>
      <c r="C563" s="2" t="s">
        <v>10</v>
      </c>
      <c r="D563" s="2"/>
      <c r="E563" s="2"/>
      <c r="F563" s="2" t="s">
        <v>569</v>
      </c>
      <c r="G563" s="2" t="s">
        <v>8</v>
      </c>
      <c r="H563" s="4">
        <v>-125</v>
      </c>
      <c r="I563" s="4">
        <v>-145</v>
      </c>
    </row>
    <row r="564" spans="1:9" x14ac:dyDescent="0.35">
      <c r="B564" s="2" t="s">
        <v>129</v>
      </c>
      <c r="C564" s="2" t="s">
        <v>10</v>
      </c>
      <c r="D564" s="2"/>
      <c r="E564" s="2"/>
      <c r="F564" s="2" t="s">
        <v>570</v>
      </c>
      <c r="G564" s="2" t="s">
        <v>8</v>
      </c>
      <c r="H564" s="4">
        <v>-100</v>
      </c>
      <c r="I564" s="4">
        <v>-245</v>
      </c>
    </row>
    <row r="565" spans="1:9" x14ac:dyDescent="0.35">
      <c r="A565" s="174" t="s">
        <v>571</v>
      </c>
      <c r="H565" s="5">
        <v>-245</v>
      </c>
    </row>
    <row r="566" spans="1:9" x14ac:dyDescent="0.35">
      <c r="A566" s="174" t="s">
        <v>572</v>
      </c>
      <c r="H566" s="5">
        <v>276.60000000000002</v>
      </c>
    </row>
    <row r="567" spans="1:9" x14ac:dyDescent="0.35">
      <c r="A567" s="174" t="s">
        <v>573</v>
      </c>
      <c r="H567" s="5">
        <v>3877.51</v>
      </c>
    </row>
    <row r="568" spans="1:9" x14ac:dyDescent="0.35">
      <c r="A568" s="174" t="s">
        <v>574</v>
      </c>
    </row>
    <row r="569" spans="1:9" x14ac:dyDescent="0.35">
      <c r="A569" s="174" t="s">
        <v>575</v>
      </c>
    </row>
    <row r="570" spans="1:9" x14ac:dyDescent="0.35">
      <c r="B570" s="2" t="s">
        <v>148</v>
      </c>
      <c r="C570" s="2" t="s">
        <v>16</v>
      </c>
      <c r="D570" s="2">
        <v>2521</v>
      </c>
      <c r="E570" s="2" t="s">
        <v>149</v>
      </c>
      <c r="F570" s="2" t="s">
        <v>576</v>
      </c>
      <c r="G570" s="2" t="s">
        <v>8</v>
      </c>
      <c r="H570" s="4">
        <v>528</v>
      </c>
      <c r="I570" s="4">
        <v>528</v>
      </c>
    </row>
    <row r="571" spans="1:9" x14ac:dyDescent="0.35">
      <c r="A571" s="174" t="s">
        <v>577</v>
      </c>
      <c r="H571" s="5">
        <v>528</v>
      </c>
    </row>
    <row r="572" spans="1:9" x14ac:dyDescent="0.35">
      <c r="A572" s="174" t="s">
        <v>578</v>
      </c>
    </row>
    <row r="573" spans="1:9" x14ac:dyDescent="0.35">
      <c r="B573" s="2" t="s">
        <v>219</v>
      </c>
      <c r="C573" s="2" t="s">
        <v>16</v>
      </c>
      <c r="D573" s="2">
        <v>2566</v>
      </c>
      <c r="E573" s="2" t="s">
        <v>122</v>
      </c>
      <c r="F573" s="2" t="s">
        <v>579</v>
      </c>
      <c r="G573" s="2" t="s">
        <v>8</v>
      </c>
      <c r="H573" s="4">
        <v>328.43</v>
      </c>
      <c r="I573" s="4">
        <v>328.43</v>
      </c>
    </row>
    <row r="574" spans="1:9" x14ac:dyDescent="0.35">
      <c r="B574" s="2" t="s">
        <v>228</v>
      </c>
      <c r="C574" s="2" t="s">
        <v>16</v>
      </c>
      <c r="D574" s="2">
        <v>2576</v>
      </c>
      <c r="E574" s="2" t="s">
        <v>197</v>
      </c>
      <c r="F574" s="2" t="s">
        <v>580</v>
      </c>
      <c r="G574" s="2" t="s">
        <v>8</v>
      </c>
      <c r="H574" s="4">
        <v>389.34</v>
      </c>
      <c r="I574" s="4">
        <v>717.77</v>
      </c>
    </row>
    <row r="575" spans="1:9" x14ac:dyDescent="0.35">
      <c r="B575" s="2" t="s">
        <v>228</v>
      </c>
      <c r="C575" s="2" t="s">
        <v>16</v>
      </c>
      <c r="D575" s="2">
        <v>2573</v>
      </c>
      <c r="E575" s="2" t="s">
        <v>122</v>
      </c>
      <c r="F575" s="2" t="s">
        <v>581</v>
      </c>
      <c r="G575" s="2" t="s">
        <v>8</v>
      </c>
      <c r="H575" s="4">
        <v>170</v>
      </c>
      <c r="I575" s="4">
        <v>887.77</v>
      </c>
    </row>
    <row r="576" spans="1:9" x14ac:dyDescent="0.35">
      <c r="B576" s="2" t="s">
        <v>228</v>
      </c>
      <c r="C576" s="2" t="s">
        <v>16</v>
      </c>
      <c r="D576" s="2">
        <v>2575</v>
      </c>
      <c r="E576" s="2" t="s">
        <v>31</v>
      </c>
      <c r="F576" s="2" t="s">
        <v>582</v>
      </c>
      <c r="G576" s="2" t="s">
        <v>8</v>
      </c>
      <c r="H576" s="4">
        <v>33.869999999999997</v>
      </c>
      <c r="I576" s="4">
        <v>921.64</v>
      </c>
    </row>
    <row r="577" spans="1:9" x14ac:dyDescent="0.35">
      <c r="A577" s="174" t="s">
        <v>583</v>
      </c>
      <c r="H577" s="5">
        <v>921.64</v>
      </c>
    </row>
    <row r="578" spans="1:9" x14ac:dyDescent="0.35">
      <c r="A578" s="174" t="s">
        <v>584</v>
      </c>
    </row>
    <row r="579" spans="1:9" x14ac:dyDescent="0.35">
      <c r="B579" s="2" t="s">
        <v>194</v>
      </c>
      <c r="C579" s="2" t="s">
        <v>16</v>
      </c>
      <c r="D579" s="2">
        <v>2548</v>
      </c>
      <c r="E579" s="2" t="s">
        <v>197</v>
      </c>
      <c r="F579" s="2" t="s">
        <v>585</v>
      </c>
      <c r="G579" s="2" t="s">
        <v>8</v>
      </c>
      <c r="H579" s="4">
        <v>986.6</v>
      </c>
      <c r="I579" s="4">
        <v>986.6</v>
      </c>
    </row>
    <row r="580" spans="1:9" x14ac:dyDescent="0.35">
      <c r="B580" s="2" t="s">
        <v>194</v>
      </c>
      <c r="C580" s="2" t="s">
        <v>16</v>
      </c>
      <c r="D580" s="2">
        <v>2547</v>
      </c>
      <c r="E580" s="2" t="s">
        <v>31</v>
      </c>
      <c r="F580" s="2" t="s">
        <v>586</v>
      </c>
      <c r="G580" s="2" t="s">
        <v>8</v>
      </c>
      <c r="H580" s="4">
        <v>362.85</v>
      </c>
      <c r="I580" s="4">
        <v>1349.45</v>
      </c>
    </row>
    <row r="581" spans="1:9" x14ac:dyDescent="0.35">
      <c r="A581" s="174" t="s">
        <v>587</v>
      </c>
      <c r="H581" s="5">
        <v>1349.45</v>
      </c>
    </row>
    <row r="582" spans="1:9" x14ac:dyDescent="0.35">
      <c r="A582" s="174" t="s">
        <v>588</v>
      </c>
      <c r="H582" s="5">
        <v>2271.09</v>
      </c>
    </row>
    <row r="583" spans="1:9" x14ac:dyDescent="0.35">
      <c r="A583" s="174" t="s">
        <v>589</v>
      </c>
    </row>
    <row r="584" spans="1:9" x14ac:dyDescent="0.35">
      <c r="B584" s="2" t="s">
        <v>164</v>
      </c>
      <c r="C584" s="2" t="s">
        <v>16</v>
      </c>
      <c r="D584" s="2">
        <v>2528</v>
      </c>
      <c r="E584" s="2" t="s">
        <v>165</v>
      </c>
      <c r="F584" s="2" t="s">
        <v>590</v>
      </c>
      <c r="G584" s="2" t="s">
        <v>8</v>
      </c>
      <c r="H584" s="4">
        <v>335</v>
      </c>
      <c r="I584" s="4">
        <v>335</v>
      </c>
    </row>
    <row r="585" spans="1:9" x14ac:dyDescent="0.35">
      <c r="A585" s="174" t="s">
        <v>591</v>
      </c>
      <c r="H585" s="5">
        <v>335</v>
      </c>
    </row>
    <row r="586" spans="1:9" x14ac:dyDescent="0.35">
      <c r="A586" s="174" t="s">
        <v>592</v>
      </c>
    </row>
    <row r="587" spans="1:9" x14ac:dyDescent="0.35">
      <c r="B587" s="2" t="s">
        <v>27</v>
      </c>
      <c r="C587" s="2" t="s">
        <v>16</v>
      </c>
      <c r="D587" s="2">
        <v>2466</v>
      </c>
      <c r="E587" s="2" t="s">
        <v>28</v>
      </c>
      <c r="F587" s="2" t="s">
        <v>593</v>
      </c>
      <c r="G587" s="2" t="s">
        <v>8</v>
      </c>
      <c r="H587" s="4">
        <v>1037</v>
      </c>
      <c r="I587" s="4">
        <v>1037</v>
      </c>
    </row>
    <row r="588" spans="1:9" x14ac:dyDescent="0.35">
      <c r="A588" s="174" t="s">
        <v>594</v>
      </c>
      <c r="H588" s="5">
        <v>1037</v>
      </c>
    </row>
    <row r="589" spans="1:9" x14ac:dyDescent="0.35">
      <c r="A589" s="174" t="s">
        <v>595</v>
      </c>
    </row>
    <row r="590" spans="1:9" x14ac:dyDescent="0.35">
      <c r="A590" s="174" t="s">
        <v>596</v>
      </c>
    </row>
    <row r="591" spans="1:9" x14ac:dyDescent="0.35">
      <c r="B591" s="2" t="s">
        <v>201</v>
      </c>
      <c r="C591" s="2" t="s">
        <v>16</v>
      </c>
      <c r="D591" s="2">
        <v>2552</v>
      </c>
      <c r="E591" s="2" t="s">
        <v>186</v>
      </c>
      <c r="F591" s="2" t="s">
        <v>597</v>
      </c>
      <c r="G591" s="2" t="s">
        <v>8</v>
      </c>
      <c r="H591" s="4">
        <v>551.37</v>
      </c>
      <c r="I591" s="4">
        <v>551.37</v>
      </c>
    </row>
    <row r="592" spans="1:9" x14ac:dyDescent="0.35">
      <c r="A592" s="174" t="s">
        <v>598</v>
      </c>
      <c r="H592" s="5">
        <v>551.37</v>
      </c>
    </row>
    <row r="593" spans="1:9" x14ac:dyDescent="0.35">
      <c r="A593" s="174" t="s">
        <v>599</v>
      </c>
    </row>
    <row r="594" spans="1:9" x14ac:dyDescent="0.35">
      <c r="B594" s="2" t="s">
        <v>184</v>
      </c>
      <c r="C594" s="2" t="s">
        <v>16</v>
      </c>
      <c r="D594" s="2">
        <v>2539</v>
      </c>
      <c r="E594" s="2" t="s">
        <v>186</v>
      </c>
      <c r="F594" s="2" t="s">
        <v>600</v>
      </c>
      <c r="G594" s="2" t="s">
        <v>8</v>
      </c>
      <c r="H594" s="4">
        <v>591.58000000000004</v>
      </c>
      <c r="I594" s="4">
        <v>591.58000000000004</v>
      </c>
    </row>
    <row r="595" spans="1:9" x14ac:dyDescent="0.35">
      <c r="B595" s="2" t="s">
        <v>232</v>
      </c>
      <c r="C595" s="2" t="s">
        <v>16</v>
      </c>
      <c r="D595" s="2">
        <v>2578</v>
      </c>
      <c r="E595" s="2" t="s">
        <v>186</v>
      </c>
      <c r="F595" s="2" t="s">
        <v>601</v>
      </c>
      <c r="G595" s="2" t="s">
        <v>8</v>
      </c>
      <c r="H595" s="4">
        <v>503</v>
      </c>
      <c r="I595" s="4">
        <v>1094.58</v>
      </c>
    </row>
    <row r="596" spans="1:9" x14ac:dyDescent="0.35">
      <c r="A596" s="174" t="s">
        <v>602</v>
      </c>
      <c r="H596" s="5">
        <v>1094.58</v>
      </c>
    </row>
    <row r="597" spans="1:9" x14ac:dyDescent="0.35">
      <c r="A597" s="174" t="s">
        <v>603</v>
      </c>
      <c r="H597" s="5">
        <v>1645.95</v>
      </c>
    </row>
    <row r="598" spans="1:9" x14ac:dyDescent="0.35">
      <c r="A598" s="174" t="s">
        <v>604</v>
      </c>
    </row>
    <row r="599" spans="1:9" x14ac:dyDescent="0.35">
      <c r="A599" s="174" t="s">
        <v>605</v>
      </c>
    </row>
    <row r="600" spans="1:9" x14ac:dyDescent="0.35">
      <c r="B600" s="2" t="s">
        <v>214</v>
      </c>
      <c r="C600" s="2" t="s">
        <v>16</v>
      </c>
      <c r="D600" s="2">
        <v>2560</v>
      </c>
      <c r="E600" s="2" t="s">
        <v>216</v>
      </c>
      <c r="F600" s="2" t="s">
        <v>606</v>
      </c>
      <c r="G600" s="2" t="s">
        <v>8</v>
      </c>
      <c r="H600" s="4">
        <v>277.45</v>
      </c>
      <c r="I600" s="4">
        <v>277.45</v>
      </c>
    </row>
    <row r="601" spans="1:9" x14ac:dyDescent="0.35">
      <c r="A601" s="174" t="s">
        <v>607</v>
      </c>
      <c r="H601" s="5">
        <v>277.45</v>
      </c>
    </row>
    <row r="602" spans="1:9" x14ac:dyDescent="0.35">
      <c r="A602" s="174" t="s">
        <v>608</v>
      </c>
      <c r="H602" s="5">
        <v>277.45</v>
      </c>
    </row>
    <row r="603" spans="1:9" x14ac:dyDescent="0.35">
      <c r="A603" s="174" t="s">
        <v>609</v>
      </c>
    </row>
    <row r="604" spans="1:9" x14ac:dyDescent="0.35">
      <c r="A604" s="174" t="s">
        <v>610</v>
      </c>
    </row>
    <row r="605" spans="1:9" x14ac:dyDescent="0.35">
      <c r="B605" s="2" t="s">
        <v>9</v>
      </c>
      <c r="C605" s="2" t="s">
        <v>10</v>
      </c>
      <c r="D605" s="2"/>
      <c r="E605" s="2"/>
      <c r="F605" s="2" t="s">
        <v>611</v>
      </c>
      <c r="G605" s="2" t="s">
        <v>8</v>
      </c>
      <c r="H605" s="4">
        <v>-960</v>
      </c>
      <c r="I605" s="4">
        <v>-960</v>
      </c>
    </row>
    <row r="606" spans="1:9" x14ac:dyDescent="0.35">
      <c r="A606" s="174" t="s">
        <v>612</v>
      </c>
      <c r="H606" s="5">
        <v>-960</v>
      </c>
    </row>
    <row r="607" spans="1:9" x14ac:dyDescent="0.35">
      <c r="A607" s="174" t="s">
        <v>613</v>
      </c>
      <c r="H607" s="5">
        <v>-960</v>
      </c>
    </row>
    <row r="608" spans="1:9" x14ac:dyDescent="0.35">
      <c r="A608" s="174" t="s">
        <v>614</v>
      </c>
      <c r="H608" s="5">
        <v>5134.49</v>
      </c>
    </row>
    <row r="611" spans="1:9" x14ac:dyDescent="0.35">
      <c r="A611" s="170" t="s">
        <v>615</v>
      </c>
      <c r="B611" s="171"/>
      <c r="C611" s="171"/>
      <c r="D611" s="171"/>
      <c r="E611" s="171"/>
      <c r="F611" s="171"/>
      <c r="G611" s="171"/>
      <c r="H611" s="171"/>
      <c r="I611" s="171"/>
    </row>
  </sheetData>
  <mergeCells count="182">
    <mergeCell ref="A606"/>
    <mergeCell ref="A607"/>
    <mergeCell ref="A608"/>
    <mergeCell ref="A611:I611"/>
    <mergeCell ref="A1:I1"/>
    <mergeCell ref="A2:I2"/>
    <mergeCell ref="A3:I3"/>
    <mergeCell ref="A599"/>
    <mergeCell ref="A601"/>
    <mergeCell ref="A602"/>
    <mergeCell ref="A603"/>
    <mergeCell ref="A604"/>
    <mergeCell ref="A592"/>
    <mergeCell ref="A593"/>
    <mergeCell ref="A596"/>
    <mergeCell ref="A597"/>
    <mergeCell ref="A598"/>
    <mergeCell ref="A585"/>
    <mergeCell ref="A586"/>
    <mergeCell ref="A588"/>
    <mergeCell ref="A589"/>
    <mergeCell ref="A590"/>
    <mergeCell ref="A577"/>
    <mergeCell ref="A578"/>
    <mergeCell ref="A581"/>
    <mergeCell ref="A582"/>
    <mergeCell ref="A583"/>
    <mergeCell ref="A567"/>
    <mergeCell ref="A568"/>
    <mergeCell ref="A569"/>
    <mergeCell ref="A571"/>
    <mergeCell ref="A572"/>
    <mergeCell ref="A558"/>
    <mergeCell ref="A560"/>
    <mergeCell ref="A561"/>
    <mergeCell ref="A565"/>
    <mergeCell ref="A566"/>
    <mergeCell ref="A552"/>
    <mergeCell ref="A553"/>
    <mergeCell ref="A555"/>
    <mergeCell ref="A556"/>
    <mergeCell ref="A557"/>
    <mergeCell ref="A543"/>
    <mergeCell ref="A546"/>
    <mergeCell ref="A547"/>
    <mergeCell ref="A550"/>
    <mergeCell ref="A551"/>
    <mergeCell ref="A536"/>
    <mergeCell ref="A537"/>
    <mergeCell ref="A538"/>
    <mergeCell ref="A541"/>
    <mergeCell ref="A542"/>
    <mergeCell ref="A524"/>
    <mergeCell ref="A525"/>
    <mergeCell ref="A532"/>
    <mergeCell ref="A533"/>
    <mergeCell ref="A535"/>
    <mergeCell ref="A512"/>
    <mergeCell ref="A515"/>
    <mergeCell ref="A516"/>
    <mergeCell ref="A519"/>
    <mergeCell ref="A520"/>
    <mergeCell ref="A504"/>
    <mergeCell ref="A506"/>
    <mergeCell ref="A507"/>
    <mergeCell ref="A508"/>
    <mergeCell ref="A511"/>
    <mergeCell ref="A496"/>
    <mergeCell ref="A499"/>
    <mergeCell ref="A500"/>
    <mergeCell ref="A501"/>
    <mergeCell ref="A503"/>
    <mergeCell ref="A485"/>
    <mergeCell ref="A490"/>
    <mergeCell ref="A491"/>
    <mergeCell ref="A494"/>
    <mergeCell ref="A495"/>
    <mergeCell ref="A476"/>
    <mergeCell ref="A477"/>
    <mergeCell ref="A482"/>
    <mergeCell ref="A483"/>
    <mergeCell ref="A484"/>
    <mergeCell ref="A452"/>
    <mergeCell ref="A453"/>
    <mergeCell ref="A454"/>
    <mergeCell ref="A468"/>
    <mergeCell ref="A469"/>
    <mergeCell ref="A436"/>
    <mergeCell ref="A437"/>
    <mergeCell ref="A445"/>
    <mergeCell ref="A446"/>
    <mergeCell ref="A451"/>
    <mergeCell ref="A427"/>
    <mergeCell ref="A430"/>
    <mergeCell ref="A431"/>
    <mergeCell ref="A434"/>
    <mergeCell ref="A435"/>
    <mergeCell ref="A417"/>
    <mergeCell ref="A423"/>
    <mergeCell ref="A424"/>
    <mergeCell ref="A425"/>
    <mergeCell ref="A426"/>
    <mergeCell ref="A398"/>
    <mergeCell ref="A399"/>
    <mergeCell ref="A403"/>
    <mergeCell ref="A404"/>
    <mergeCell ref="A416"/>
    <mergeCell ref="A390"/>
    <mergeCell ref="A393"/>
    <mergeCell ref="A394"/>
    <mergeCell ref="A396"/>
    <mergeCell ref="A397"/>
    <mergeCell ref="A384"/>
    <mergeCell ref="A385"/>
    <mergeCell ref="A386"/>
    <mergeCell ref="A387"/>
    <mergeCell ref="A389"/>
    <mergeCell ref="A370"/>
    <mergeCell ref="A372"/>
    <mergeCell ref="A373"/>
    <mergeCell ref="A379"/>
    <mergeCell ref="A380"/>
    <mergeCell ref="A332"/>
    <mergeCell ref="A333"/>
    <mergeCell ref="A367"/>
    <mergeCell ref="A368"/>
    <mergeCell ref="A369"/>
    <mergeCell ref="A321"/>
    <mergeCell ref="A326"/>
    <mergeCell ref="A327"/>
    <mergeCell ref="A328"/>
    <mergeCell ref="A329"/>
    <mergeCell ref="A312"/>
    <mergeCell ref="A313"/>
    <mergeCell ref="A314"/>
    <mergeCell ref="A315"/>
    <mergeCell ref="A320"/>
    <mergeCell ref="A300"/>
    <mergeCell ref="A301"/>
    <mergeCell ref="A307"/>
    <mergeCell ref="A308"/>
    <mergeCell ref="A289"/>
    <mergeCell ref="A290"/>
    <mergeCell ref="A294"/>
    <mergeCell ref="A295"/>
    <mergeCell ref="A296"/>
    <mergeCell ref="A285"/>
    <mergeCell ref="A286"/>
    <mergeCell ref="A287"/>
    <mergeCell ref="A248"/>
    <mergeCell ref="A252"/>
    <mergeCell ref="A253"/>
    <mergeCell ref="A254"/>
    <mergeCell ref="A255"/>
    <mergeCell ref="A297"/>
    <mergeCell ref="A226"/>
    <mergeCell ref="A247"/>
    <mergeCell ref="A216"/>
    <mergeCell ref="A217"/>
    <mergeCell ref="A218"/>
    <mergeCell ref="A220"/>
    <mergeCell ref="A221"/>
    <mergeCell ref="A260"/>
    <mergeCell ref="A261"/>
    <mergeCell ref="A215"/>
    <mergeCell ref="A198"/>
    <mergeCell ref="A200"/>
    <mergeCell ref="A201"/>
    <mergeCell ref="A207"/>
    <mergeCell ref="A208"/>
    <mergeCell ref="A223"/>
    <mergeCell ref="A224"/>
    <mergeCell ref="A225"/>
    <mergeCell ref="A6"/>
    <mergeCell ref="A193"/>
    <mergeCell ref="A194"/>
    <mergeCell ref="A195"/>
    <mergeCell ref="A197"/>
    <mergeCell ref="A209"/>
    <mergeCell ref="A210"/>
    <mergeCell ref="A212"/>
    <mergeCell ref="A2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24-25</vt:lpstr>
      <vt:lpstr>17-18</vt:lpstr>
      <vt:lpstr>18-19</vt:lpstr>
      <vt:lpstr>19-20</vt:lpstr>
      <vt:lpstr>Transaction Detail by Account</vt:lpstr>
      <vt:lpstr>'24-25'!Print_Area</vt:lpstr>
      <vt:lpstr>'24-25'!Print_Titles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</dc:creator>
  <cp:keywords/>
  <dc:description/>
  <cp:lastModifiedBy>Deborah Rosenberg</cp:lastModifiedBy>
  <cp:lastPrinted>2022-05-16T23:04:41Z</cp:lastPrinted>
  <dcterms:created xsi:type="dcterms:W3CDTF">2021-05-22T15:09:12Z</dcterms:created>
  <dcterms:modified xsi:type="dcterms:W3CDTF">2024-07-29T21:37:24Z</dcterms:modified>
  <cp:category/>
  <cp:contentStatus/>
</cp:coreProperties>
</file>